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18.xml" ContentType="application/vnd.openxmlformats-officedocument.spreadsheetml.queryTab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tables/table1.xml" ContentType="application/vnd.openxmlformats-officedocument.spreadsheetml.tab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tables/table2.xml" ContentType="application/vnd.openxmlformats-officedocument.spreadsheetml.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ables/table3.xml" ContentType="application/vnd.openxmlformats-officedocument.spreadsheetml.tab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omments3.xml" ContentType="application/vnd.openxmlformats-officedocument.spreadsheetml.comment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51.xml" ContentType="application/vnd.openxmlformats-officedocument.spreadsheetml.queryTable+xml"/>
  <Override PartName="/xl/tables/table4.xml" ContentType="application/vnd.openxmlformats-officedocument.spreadsheetml.table+xml"/>
  <Override PartName="/xl/queryTables/queryTable52.xml" ContentType="application/vnd.openxmlformats-officedocument.spreadsheetml.queryTable+xml"/>
  <Override PartName="/xl/drawings/drawing28.xml" ContentType="application/vnd.openxmlformats-officedocument.drawing+xml"/>
  <Override PartName="/xl/queryTables/queryTable53.xml" ContentType="application/vnd.openxmlformats-officedocument.spreadsheetml.queryTable+xml"/>
  <Override PartName="/xl/drawings/drawing29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drawings/drawing35.xml" ContentType="application/vnd.openxmlformats-officedocument.drawing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drawings/drawing36.xml" ContentType="application/vnd.openxmlformats-officedocument.drawing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HC" sheetId="96" r:id="rId36"/>
    <sheet name="KBWY" sheetId="94" state="hidden" r:id="rId37"/>
    <sheet name="AYI" sheetId="92" state="hidden" r:id="rId38"/>
    <sheet name="DIA" sheetId="91" state="hidden" r:id="rId39"/>
    <sheet name="ICE" sheetId="95" state="hidden" r:id="rId40"/>
    <sheet name="NKE" sheetId="50" r:id="rId41"/>
    <sheet name="MOS" sheetId="58" r:id="rId42"/>
    <sheet name="VGK" sheetId="59" state="hidden" r:id="rId43"/>
    <sheet name="CMG" sheetId="87" state="hidden" r:id="rId44"/>
    <sheet name="HAS" sheetId="90" state="hidden" r:id="rId45"/>
    <sheet name="HSIC" sheetId="82" state="hidden" r:id="rId46"/>
    <sheet name="PDCO" sheetId="88" state="hidden" r:id="rId47"/>
    <sheet name="MU" sheetId="17" r:id="rId48"/>
    <sheet name="IP" sheetId="44" state="hidden" r:id="rId49"/>
    <sheet name="INTC" sheetId="13" state="hidden" r:id="rId50"/>
    <sheet name="HES" sheetId="10" state="hidden" r:id="rId51"/>
    <sheet name="UNP" sheetId="20" state="hidden" r:id="rId52"/>
    <sheet name="NCLH" sheetId="67" state="hidden" r:id="rId53"/>
    <sheet name="SPY" sheetId="47" state="hidden" r:id="rId54"/>
    <sheet name="SWKS" sheetId="41" state="hidden" r:id="rId55"/>
    <sheet name="CNI" sheetId="42" state="hidden" r:id="rId56"/>
    <sheet name="WFC" sheetId="45" state="hidden" r:id="rId57"/>
    <sheet name="AA" sheetId="3" r:id="rId58"/>
    <sheet name="CF" sheetId="61" state="hidden" r:id="rId59"/>
    <sheet name="TGT" sheetId="75" state="hidden" r:id="rId60"/>
    <sheet name="NWL" sheetId="46" r:id="rId61"/>
    <sheet name="KORS" sheetId="16" state="hidden" r:id="rId62"/>
    <sheet name="ALL" sheetId="22" state="hidden" r:id="rId63"/>
    <sheet name="NSC" sheetId="24" state="hidden" r:id="rId64"/>
    <sheet name="AVGO" sheetId="15" state="hidden" r:id="rId65"/>
    <sheet name="UAL" sheetId="52" r:id="rId66"/>
    <sheet name="CAH" sheetId="53" r:id="rId67"/>
    <sheet name="DAL" sheetId="49" state="hidden" r:id="rId68"/>
    <sheet name="TEVA" sheetId="74" state="hidden" r:id="rId69"/>
    <sheet name="DIS" sheetId="34" state="hidden" r:id="rId70"/>
    <sheet name="FTR" sheetId="40" state="hidden" r:id="rId71"/>
    <sheet name="GILD" sheetId="31" r:id="rId72"/>
    <sheet name="WWD" sheetId="28" state="hidden" r:id="rId73"/>
    <sheet name="GIS" sheetId="43" state="hidden" r:id="rId74"/>
    <sheet name="GM" sheetId="29" state="hidden" r:id="rId75"/>
    <sheet name="TMO" sheetId="48" state="hidden" r:id="rId76"/>
    <sheet name="TKR" sheetId="32" state="hidden" r:id="rId77"/>
    <sheet name="UTX" sheetId="30" state="hidden" r:id="rId78"/>
    <sheet name="UNH" sheetId="26" state="hidden" r:id="rId79"/>
  </sheets>
  <functionGroups builtInGroupCount="18"/>
  <definedNames>
    <definedName name="_xlnm._FilterDatabase" localSheetId="0" hidden="1">ACTIVE!$E$1:$M$26</definedName>
    <definedName name="hp?s_AA_Historical_Prices_1" localSheetId="57">AA!$W$1:$AC$68</definedName>
    <definedName name="hp?s_AAPL" localSheetId="6">AAPL!$W$1:$AC$69</definedName>
    <definedName name="hp?s_AKAM_Historical_Prices" localSheetId="14">BMY!$W$1:$AC$70</definedName>
    <definedName name="hp?s_ALL_Historical_Prices" localSheetId="62">ALL!$X$1:$AD$69</definedName>
    <definedName name="hp?s_AVGO" localSheetId="64">AVGO!$W$1:$AC$69</definedName>
    <definedName name="hp?s_AXP_Historical_Prices" localSheetId="7">AXP!$W$1:$AC$70</definedName>
    <definedName name="hp?s_BIIB" localSheetId="3">BIIB!#REF!</definedName>
    <definedName name="hp?s_CAH" localSheetId="66">CAH!$W$1:$AC$69</definedName>
    <definedName name="hp?s_cce" localSheetId="13">CCE!$W$1:$AC$68</definedName>
    <definedName name="hp?s_CNI" localSheetId="55">CNI!$W$1:$AC$69</definedName>
    <definedName name="hp?s_CPN_Historical_Prices" localSheetId="30">CPN!$W$1:$AC$68</definedName>
    <definedName name="hp?s_cvs" localSheetId="18">CVS!$W$1:$AC$69</definedName>
    <definedName name="hp?s_DAL" localSheetId="67">DAL!$W$1:$AC$69</definedName>
    <definedName name="hp?s_DIS" localSheetId="13">CCE!#REF!</definedName>
    <definedName name="hp?s_DIS" localSheetId="69">DIS!$W$1:$AC$68</definedName>
    <definedName name="hp?s_DIS" localSheetId="70">FTR!#REF!</definedName>
    <definedName name="hp?s_ew_Historical_Prices" localSheetId="31">EW!$W$1:$AC$68</definedName>
    <definedName name="hp?s_foxa" localSheetId="10">FOXA!$W$1:$AC$69</definedName>
    <definedName name="hp?s_GILD" localSheetId="71">GILD!#REF!</definedName>
    <definedName name="hp?s_GIS" localSheetId="73">GIS!$X$1:$AD$69</definedName>
    <definedName name="hp?s_GM" localSheetId="74">GM!$W$1:$AC$69</definedName>
    <definedName name="hp?s_HES" localSheetId="50">HES!$W$1:$AC$69</definedName>
    <definedName name="hp?s_INTC_Historical_Prices" localSheetId="49">INTC!$W$1:$AC$69</definedName>
    <definedName name="hp?s_IP" localSheetId="48">IP!$W$1:$AC$69</definedName>
    <definedName name="hp?s_jnj" localSheetId="24">JNJ!$W$1:$AC$69</definedName>
    <definedName name="hp?s_KORS" localSheetId="61">KORS!$W$1:$AC$68</definedName>
    <definedName name="hp?s_LUV" localSheetId="12">LUV!$W$1:$AC$69</definedName>
    <definedName name="hp?s_MYL" localSheetId="4">MYL!$W$1:$AC$68</definedName>
    <definedName name="hp?s_nclh" localSheetId="52">NCLH!$W$1:$AC$68</definedName>
    <definedName name="hp?s_nke" localSheetId="40">NKE!$W$1:$AC$69</definedName>
    <definedName name="hp?s_NSC" localSheetId="63">NSC!$W$1:$AC$69</definedName>
    <definedName name="hp?s_NWL" localSheetId="60">NWL!#REF!</definedName>
    <definedName name="hp?s_pinc" localSheetId="9">PINC!$W$1:$AC$68</definedName>
    <definedName name="hp?s_SWKS" localSheetId="54">SWKS!$W$1:$AC$69</definedName>
    <definedName name="hp?s_TKR" localSheetId="76">TKR!$W$1:$AC$69</definedName>
    <definedName name="hp?s_tmo" localSheetId="75">TMO!$W$1:$AC$69</definedName>
    <definedName name="hp?s_ual" localSheetId="65">UAL!$W$1:$AC$68</definedName>
    <definedName name="hp?s_UNH" localSheetId="78">UNH!$W$1:$AC$69</definedName>
    <definedName name="hp?s_UNP" localSheetId="51">UNP!$W$1:$AC$69</definedName>
    <definedName name="hp?s_UTX" localSheetId="77">UTX!$W$1:$AC$69</definedName>
    <definedName name="hp?s_vgk" localSheetId="42">VGK!$W$1:$AC$69</definedName>
    <definedName name="hp?s_WFC" localSheetId="56">WFC!$W$1:$AC$69</definedName>
    <definedName name="hp?s_WWD" localSheetId="72">WWD!$W$1:$AC$69</definedName>
    <definedName name="PL" localSheetId="57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7">#REF!</definedName>
    <definedName name="PL" localSheetId="34">#REF!</definedName>
    <definedName name="PL" localSheetId="14">#REF!</definedName>
    <definedName name="PL" localSheetId="66">#REF!</definedName>
    <definedName name="PL" localSheetId="58">#REF!</definedName>
    <definedName name="PL" localSheetId="43">#REF!</definedName>
    <definedName name="PL" localSheetId="29">#REF!</definedName>
    <definedName name="PL" localSheetId="18">#REF!</definedName>
    <definedName name="PL" localSheetId="8">#REF!</definedName>
    <definedName name="PL" localSheetId="38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4">#REF!</definedName>
    <definedName name="PL" localSheetId="45">#REF!</definedName>
    <definedName name="PL" localSheetId="39">#REF!</definedName>
    <definedName name="PL" localSheetId="24">#REF!</definedName>
    <definedName name="PL" localSheetId="36">#REF!</definedName>
    <definedName name="PL" localSheetId="35">#REF!</definedName>
    <definedName name="PL" localSheetId="22">#REF!</definedName>
    <definedName name="PL" localSheetId="12">#REF!</definedName>
    <definedName name="PL" localSheetId="41">#REF!</definedName>
    <definedName name="PL" localSheetId="4">#REF!</definedName>
    <definedName name="PL" localSheetId="52">NCLH!$Q$7</definedName>
    <definedName name="PL" localSheetId="40">#REF!</definedName>
    <definedName name="PL" localSheetId="46">#REF!</definedName>
    <definedName name="PL" localSheetId="9">PINC!$Q$7</definedName>
    <definedName name="PL" localSheetId="53">SPY!$Q$7</definedName>
    <definedName name="PL" localSheetId="54">SWKS!$Q$7</definedName>
    <definedName name="PL" localSheetId="28">#REF!</definedName>
    <definedName name="PL" localSheetId="59">#REF!</definedName>
    <definedName name="PL" localSheetId="32">#REF!</definedName>
    <definedName name="PL" localSheetId="65">#REF!</definedName>
    <definedName name="PL" localSheetId="25">#REF!</definedName>
    <definedName name="PL" localSheetId="42">#REF!</definedName>
    <definedName name="PL" localSheetId="33">#REF!</definedName>
    <definedName name="PL" localSheetId="56">WFC!$Q$7</definedName>
    <definedName name="q?s_aa_ql_1" localSheetId="57">AA!$T$40:$U$55</definedName>
    <definedName name="q?s_AAPL" localSheetId="6">AAPL!$T$40:$U$55</definedName>
    <definedName name="q?s_AKAM" localSheetId="16">AKAM!$T$43:$U$58</definedName>
    <definedName name="q?s_ALL" localSheetId="62">ALL!$T$40:$U$55</definedName>
    <definedName name="q?s_AVGO" localSheetId="64">AVGO!$T$42:$U$57</definedName>
    <definedName name="q?s_AXP" localSheetId="7">AXP!$T$43:$U$58</definedName>
    <definedName name="q?s_BMY_1" localSheetId="14">BMY!$T$43:$U$58</definedName>
    <definedName name="q?s_CAH" localSheetId="66">CAH!$T$43:$U$58</definedName>
    <definedName name="q?s_cce" localSheetId="13">CCE!$T$43:$U$58</definedName>
    <definedName name="q?s_CF" localSheetId="58">CF!$T$56:$U$71</definedName>
    <definedName name="q?s_CNI" localSheetId="55">CNI!$T$43:$U$58</definedName>
    <definedName name="q?s_CPN" localSheetId="30">CPN!$T$43:$U$58</definedName>
    <definedName name="q?s_cvs" localSheetId="18">CVS!$T$43:$U$58</definedName>
    <definedName name="q?s_DAL" localSheetId="67">DAL!$T$43:$U$58</definedName>
    <definedName name="q?s_dg" localSheetId="8">DG!$T$43:$U$58</definedName>
    <definedName name="q?s_DIS" localSheetId="69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70">FTR!$T$43:$U$58</definedName>
    <definedName name="q?s_GILD" localSheetId="71">GILD!$T$43:$U$58</definedName>
    <definedName name="q?s_GIS_1" localSheetId="73">GIS!$T$43:$U$58</definedName>
    <definedName name="q?s_GM" localSheetId="74">GM!$T$43:$U$58</definedName>
    <definedName name="q?s_HES" localSheetId="50">HES!$T$43:$U$58</definedName>
    <definedName name="q?s_INTC" localSheetId="49">INTC!$T$43:$U$58</definedName>
    <definedName name="q?s_IP" localSheetId="48">IP!$T$43:$U$58</definedName>
    <definedName name="q?s_JNJ" localSheetId="24">JNJ!$T$43:$U$58</definedName>
    <definedName name="q?s_KORS" localSheetId="61">KORS!$T$43:$U$58</definedName>
    <definedName name="q?s_KR" localSheetId="22">KR!$T$25:$U$40</definedName>
    <definedName name="q?s_luv_ql_1" localSheetId="12">LUV!$T$43:$U$58</definedName>
    <definedName name="q?s_MU" localSheetId="47">MU!#REF!</definedName>
    <definedName name="q?s_MYL" localSheetId="4">MYL!$T$43:$U$58</definedName>
    <definedName name="q?s_nclh" localSheetId="52">NCLH!$T$40:$U$55</definedName>
    <definedName name="q?s_NKE" localSheetId="40">NKE!$T$43:$U$58</definedName>
    <definedName name="q?s_nsc" localSheetId="63">NSC!$T$43:$U$58</definedName>
    <definedName name="q?s_NSC" localSheetId="51">UNP!$T$43:$U$58</definedName>
    <definedName name="q?s_NWL" localSheetId="60">NWL!$T$43:$U$58</definedName>
    <definedName name="q?s_pinc" localSheetId="9">PINC!$T$40:$U$55</definedName>
    <definedName name="q?s_SIG" localSheetId="5">SIG!#REF!</definedName>
    <definedName name="q?s_SWKS" localSheetId="54">SWKS!$T$40:$U$55</definedName>
    <definedName name="q?s_tgt" localSheetId="59">TGT!$T$43:$U$58</definedName>
    <definedName name="q?s_TKR" localSheetId="76">TKR!$T$43:$U$58</definedName>
    <definedName name="q?s_tmo" localSheetId="75">TMO!$T$43:$U$58</definedName>
    <definedName name="q?s_UAL" localSheetId="65">UAL!$T$43:$U$58</definedName>
    <definedName name="q?s_UNH" localSheetId="78">UNH!$T$43:$U$58</definedName>
    <definedName name="q?s_UTX" localSheetId="77">UTX!$T$43:$U$58</definedName>
    <definedName name="q?s_vgk" localSheetId="42">VGK!$T$43:$U$56</definedName>
    <definedName name="q?s_WFC" localSheetId="56">WFC!$T$43:$U$58</definedName>
    <definedName name="q?s_WWD" localSheetId="7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94" i="38" l="1"/>
  <c r="D594" i="38"/>
  <c r="E594" i="38"/>
  <c r="G594" i="38"/>
  <c r="H594" i="38"/>
  <c r="K594" i="38"/>
  <c r="L594" i="38"/>
  <c r="W594" i="38" s="1"/>
  <c r="M594" i="38"/>
  <c r="N594" i="38" s="1"/>
  <c r="O594" i="38" s="1"/>
  <c r="S594" i="38"/>
  <c r="V594" i="38"/>
  <c r="X594" i="38" l="1"/>
  <c r="P594" i="38"/>
  <c r="Q594" i="38" s="1"/>
  <c r="Y594" i="38"/>
  <c r="U594" i="38"/>
  <c r="K18" i="77"/>
  <c r="H18" i="77"/>
  <c r="F173" i="25"/>
  <c r="H173" i="25"/>
  <c r="G173" i="25"/>
  <c r="F67" i="25"/>
  <c r="F43" i="46" l="1"/>
  <c r="G43" i="46"/>
  <c r="H43" i="46"/>
  <c r="F26" i="74"/>
  <c r="G26" i="74"/>
  <c r="H26" i="74"/>
  <c r="F47" i="70"/>
  <c r="H47" i="70"/>
  <c r="G47" i="70"/>
  <c r="F53" i="77"/>
  <c r="G53" i="77"/>
  <c r="H53" i="77"/>
  <c r="H73" i="58"/>
  <c r="G73" i="58"/>
  <c r="F73" i="58"/>
  <c r="F72" i="58"/>
  <c r="H72" i="58"/>
  <c r="G72" i="58"/>
  <c r="A593" i="38"/>
  <c r="D593" i="38"/>
  <c r="E593" i="38"/>
  <c r="G593" i="38"/>
  <c r="H593" i="38"/>
  <c r="K593" i="38"/>
  <c r="L593" i="38" s="1"/>
  <c r="M593" i="38"/>
  <c r="U593" i="38" s="1"/>
  <c r="S593" i="38"/>
  <c r="V593" i="38"/>
  <c r="F22" i="58"/>
  <c r="C22" i="58"/>
  <c r="N593" i="38" l="1"/>
  <c r="O593" i="38" s="1"/>
  <c r="Y593" i="38"/>
  <c r="P593" i="38"/>
  <c r="Q593" i="38" s="1"/>
  <c r="W593" i="38"/>
  <c r="X593" i="38" s="1"/>
  <c r="F42" i="81"/>
  <c r="H42" i="81"/>
  <c r="G42" i="81"/>
  <c r="F12" i="81"/>
  <c r="F18" i="81"/>
  <c r="C18" i="81"/>
  <c r="A592" i="38"/>
  <c r="D592" i="38"/>
  <c r="E592" i="38"/>
  <c r="G592" i="38"/>
  <c r="H592" i="38"/>
  <c r="K592" i="38"/>
  <c r="L592" i="38"/>
  <c r="M592" i="38"/>
  <c r="N592" i="38" s="1"/>
  <c r="S592" i="38"/>
  <c r="V592" i="38"/>
  <c r="W592" i="38"/>
  <c r="O592" i="38" l="1"/>
  <c r="X592" i="38"/>
  <c r="P592" i="38"/>
  <c r="Q592" i="38" s="1"/>
  <c r="Y592" i="38"/>
  <c r="U592" i="38"/>
  <c r="F41" i="81"/>
  <c r="G41" i="81"/>
  <c r="H41" i="81"/>
  <c r="F172" i="25"/>
  <c r="G172" i="25"/>
  <c r="H172" i="25"/>
  <c r="A591" i="38" l="1"/>
  <c r="D591" i="38"/>
  <c r="E591" i="38"/>
  <c r="G591" i="38"/>
  <c r="H591" i="38"/>
  <c r="K591" i="38"/>
  <c r="L591" i="38"/>
  <c r="W591" i="38" s="1"/>
  <c r="M591" i="38"/>
  <c r="N591" i="38" s="1"/>
  <c r="O591" i="38" s="1"/>
  <c r="S591" i="38"/>
  <c r="V591" i="38"/>
  <c r="F49" i="57"/>
  <c r="H49" i="57"/>
  <c r="G49" i="57"/>
  <c r="K7" i="57"/>
  <c r="X591" i="38" l="1"/>
  <c r="P591" i="38"/>
  <c r="Q591" i="38" s="1"/>
  <c r="Y591" i="38"/>
  <c r="U591" i="38"/>
  <c r="A590" i="38"/>
  <c r="D590" i="38"/>
  <c r="V590" i="38" s="1"/>
  <c r="E590" i="38"/>
  <c r="G590" i="38"/>
  <c r="H590" i="38"/>
  <c r="K590" i="38"/>
  <c r="L590" i="38" s="1"/>
  <c r="M590" i="38"/>
  <c r="N590" i="38" s="1"/>
  <c r="O590" i="38" s="1"/>
  <c r="S590" i="38"/>
  <c r="F18" i="77"/>
  <c r="C18" i="77"/>
  <c r="P590" i="38" l="1"/>
  <c r="Q590" i="38" s="1"/>
  <c r="W590" i="38"/>
  <c r="X590" i="38" s="1"/>
  <c r="Y590" i="38"/>
  <c r="U590" i="38"/>
  <c r="A589" i="38"/>
  <c r="D589" i="38"/>
  <c r="E589" i="38"/>
  <c r="G589" i="38"/>
  <c r="H589" i="38"/>
  <c r="K589" i="38"/>
  <c r="L589" i="38" s="1"/>
  <c r="M589" i="38"/>
  <c r="N589" i="38" s="1"/>
  <c r="O589" i="38" s="1"/>
  <c r="S589" i="38"/>
  <c r="V589" i="38"/>
  <c r="F171" i="25"/>
  <c r="H171" i="25"/>
  <c r="G171" i="25"/>
  <c r="F66" i="25"/>
  <c r="F52" i="77"/>
  <c r="H52" i="77"/>
  <c r="G52" i="77"/>
  <c r="K8" i="77"/>
  <c r="P589" i="38" l="1"/>
  <c r="Q589" i="38" s="1"/>
  <c r="W589" i="38"/>
  <c r="X589" i="38" s="1"/>
  <c r="Y589" i="38"/>
  <c r="U589" i="38"/>
  <c r="F26" i="87"/>
  <c r="G26" i="87"/>
  <c r="H26" i="87"/>
  <c r="F26" i="95"/>
  <c r="G26" i="95"/>
  <c r="H26" i="95"/>
  <c r="F35" i="78"/>
  <c r="G35" i="78"/>
  <c r="H35" i="78"/>
  <c r="F105" i="51"/>
  <c r="G105" i="51"/>
  <c r="H105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/>
  <c r="M588" i="38"/>
  <c r="N588" i="38" s="1"/>
  <c r="O588" i="38" s="1"/>
  <c r="V588" i="38"/>
  <c r="W588" i="38"/>
  <c r="X588" i="38" l="1"/>
  <c r="P588" i="38"/>
  <c r="Q588" i="38" s="1"/>
  <c r="Y588" i="38"/>
  <c r="F170" i="25"/>
  <c r="H170" i="25"/>
  <c r="G170" i="25"/>
  <c r="F65" i="25"/>
  <c r="M84" i="96"/>
  <c r="M66" i="96" s="1"/>
  <c r="Q10" i="96" s="1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Q2" i="96"/>
  <c r="Q5" i="96" s="1"/>
  <c r="F2" i="96"/>
  <c r="F18" i="96" s="1"/>
  <c r="Q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K18" i="82"/>
  <c r="H18" i="82"/>
  <c r="G41" i="82"/>
  <c r="F41" i="82"/>
  <c r="H41" i="82"/>
  <c r="F8" i="82"/>
  <c r="F169" i="25"/>
  <c r="H169" i="25"/>
  <c r="G169" i="25"/>
  <c r="K47" i="25"/>
  <c r="F71" i="58"/>
  <c r="H71" i="58"/>
  <c r="G71" i="58"/>
  <c r="K14" i="58"/>
  <c r="K22" i="58"/>
  <c r="H22" i="58"/>
  <c r="F70" i="58"/>
  <c r="H70" i="58"/>
  <c r="G70" i="58"/>
  <c r="K13" i="58"/>
  <c r="M85" i="96"/>
  <c r="K85" i="96"/>
  <c r="H85" i="96"/>
  <c r="F85" i="96"/>
  <c r="M19" i="96"/>
  <c r="C85" i="96"/>
  <c r="K19" i="96"/>
  <c r="H19" i="96"/>
  <c r="F19" i="96"/>
  <c r="C19" i="96"/>
  <c r="Q7" i="96" l="1"/>
  <c r="Q3" i="96"/>
  <c r="Q6" i="96" s="1"/>
  <c r="Q9" i="96" s="1"/>
  <c r="W54" i="58"/>
  <c r="F24" i="74" l="1"/>
  <c r="G24" i="74"/>
  <c r="H24" i="74"/>
  <c r="F40" i="81"/>
  <c r="G40" i="81"/>
  <c r="H40" i="81"/>
  <c r="A587" i="38" l="1"/>
  <c r="D587" i="38"/>
  <c r="E587" i="38"/>
  <c r="G587" i="38"/>
  <c r="H587" i="38"/>
  <c r="K587" i="38"/>
  <c r="L587" i="38"/>
  <c r="P587" i="38" s="1"/>
  <c r="Q587" i="38" s="1"/>
  <c r="M587" i="38"/>
  <c r="N587" i="38" s="1"/>
  <c r="O587" i="38" s="1"/>
  <c r="S587" i="38"/>
  <c r="V587" i="38"/>
  <c r="F168" i="25"/>
  <c r="H168" i="25"/>
  <c r="G168" i="25"/>
  <c r="F64" i="25"/>
  <c r="F26" i="90"/>
  <c r="G26" i="90"/>
  <c r="H26" i="90"/>
  <c r="W587" i="38" l="1"/>
  <c r="X587" i="38" s="1"/>
  <c r="Y587" i="38"/>
  <c r="U587" i="38"/>
  <c r="F50" i="77"/>
  <c r="H50" i="77"/>
  <c r="G50" i="77"/>
  <c r="F69" i="58"/>
  <c r="H69" i="58"/>
  <c r="G69" i="58"/>
  <c r="F104" i="51"/>
  <c r="G104" i="51"/>
  <c r="H104" i="51"/>
  <c r="G40" i="82"/>
  <c r="F40" i="82"/>
  <c r="H40" i="82"/>
  <c r="F167" i="25"/>
  <c r="H167" i="25"/>
  <c r="G167" i="25"/>
  <c r="K46" i="25"/>
  <c r="K45" i="25"/>
  <c r="F63" i="25"/>
  <c r="F62" i="25"/>
  <c r="A586" i="38"/>
  <c r="D586" i="38"/>
  <c r="E586" i="38"/>
  <c r="G586" i="38"/>
  <c r="H586" i="38"/>
  <c r="K586" i="38"/>
  <c r="L586" i="38"/>
  <c r="M586" i="38"/>
  <c r="N586" i="38" s="1"/>
  <c r="S586" i="38"/>
  <c r="O586" i="38" l="1"/>
  <c r="P586" i="38"/>
  <c r="U586" i="38"/>
  <c r="Y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O585" i="38" s="1"/>
  <c r="S585" i="38"/>
  <c r="P585" i="38" l="1"/>
  <c r="Y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O584" i="38" s="1"/>
  <c r="F39" i="81"/>
  <c r="H39" i="81"/>
  <c r="G39" i="81"/>
  <c r="F11" i="81"/>
  <c r="F45" i="57"/>
  <c r="H45" i="57"/>
  <c r="G45" i="57"/>
  <c r="F9" i="57"/>
  <c r="F30" i="89"/>
  <c r="H30" i="89"/>
  <c r="G30" i="89"/>
  <c r="F29" i="89"/>
  <c r="H29" i="89"/>
  <c r="K2" i="89"/>
  <c r="F166" i="25"/>
  <c r="H166" i="25"/>
  <c r="G166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P583" i="38" l="1"/>
  <c r="Y584" i="38"/>
  <c r="Y583" i="38"/>
  <c r="O583" i="38"/>
  <c r="U583" i="38"/>
  <c r="C18" i="84"/>
  <c r="F42" i="46"/>
  <c r="G42" i="46"/>
  <c r="H42" i="46"/>
  <c r="A582" i="38" l="1"/>
  <c r="D582" i="38"/>
  <c r="E582" i="38"/>
  <c r="G582" i="38"/>
  <c r="H582" i="38"/>
  <c r="K582" i="38"/>
  <c r="L582" i="38"/>
  <c r="M582" i="38"/>
  <c r="N582" i="38" s="1"/>
  <c r="O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F44" i="57"/>
  <c r="H44" i="57"/>
  <c r="G44" i="57"/>
  <c r="K5" i="57"/>
  <c r="F165" i="25"/>
  <c r="G165" i="25"/>
  <c r="H165" i="25"/>
  <c r="F164" i="25"/>
  <c r="H164" i="25"/>
  <c r="F163" i="25"/>
  <c r="H163" i="25"/>
  <c r="F162" i="25"/>
  <c r="H162" i="25"/>
  <c r="K43" i="25"/>
  <c r="F24" i="47"/>
  <c r="G24" i="47"/>
  <c r="H24" i="47"/>
  <c r="F23" i="47"/>
  <c r="G23" i="47"/>
  <c r="H23" i="47"/>
  <c r="K2" i="47"/>
  <c r="G164" i="25"/>
  <c r="F61" i="25"/>
  <c r="G38" i="81"/>
  <c r="K4" i="81"/>
  <c r="G163" i="25"/>
  <c r="K42" i="25"/>
  <c r="F4" i="47"/>
  <c r="F4" i="91"/>
  <c r="G37" i="81"/>
  <c r="F10" i="81"/>
  <c r="F8" i="57"/>
  <c r="G162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Y582" i="38" l="1"/>
  <c r="AG10" i="31"/>
  <c r="P582" i="38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61" i="25"/>
  <c r="H161" i="25"/>
  <c r="G161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K19" i="95"/>
  <c r="H85" i="95"/>
  <c r="H19" i="95"/>
  <c r="K85" i="95"/>
  <c r="C85" i="95"/>
  <c r="M19" i="95"/>
  <c r="M85" i="95"/>
  <c r="F19" i="95"/>
  <c r="F85" i="95"/>
  <c r="C19" i="95"/>
  <c r="Y581" i="38" l="1"/>
  <c r="P581" i="38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 s="1"/>
  <c r="P580" i="38" s="1"/>
  <c r="M580" i="38"/>
  <c r="N580" i="38" s="1"/>
  <c r="S580" i="38"/>
  <c r="C18" i="82"/>
  <c r="Y580" i="38" l="1"/>
  <c r="O580" i="38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Y579" i="38" s="1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H19" i="94"/>
  <c r="M85" i="94"/>
  <c r="M19" i="94"/>
  <c r="C85" i="94"/>
  <c r="K19" i="94"/>
  <c r="F85" i="94"/>
  <c r="C19" i="94"/>
  <c r="F19" i="94"/>
  <c r="K85" i="94"/>
  <c r="H85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H19" i="93"/>
  <c r="C85" i="93"/>
  <c r="F19" i="93"/>
  <c r="K19" i="93"/>
  <c r="F85" i="93"/>
  <c r="C19" i="93"/>
  <c r="M19" i="93"/>
  <c r="K85" i="93"/>
  <c r="M85" i="93"/>
  <c r="H85" i="93"/>
  <c r="Y578" i="38" l="1"/>
  <c r="Q9" i="94"/>
  <c r="O578" i="38"/>
  <c r="P578" i="38"/>
  <c r="M66" i="93"/>
  <c r="Q10" i="93" s="1"/>
  <c r="Q2" i="93"/>
  <c r="Q3" i="93" s="1"/>
  <c r="Q6" i="93" s="1"/>
  <c r="Q7" i="94"/>
  <c r="Q5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60" i="25"/>
  <c r="H160" i="25"/>
  <c r="G160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C19" i="92"/>
  <c r="K19" i="91"/>
  <c r="K85" i="91"/>
  <c r="F85" i="92"/>
  <c r="F19" i="92"/>
  <c r="H19" i="91"/>
  <c r="H85" i="92"/>
  <c r="M19" i="91"/>
  <c r="C85" i="92"/>
  <c r="M85" i="91"/>
  <c r="M85" i="92"/>
  <c r="M19" i="92"/>
  <c r="K19" i="92"/>
  <c r="K85" i="92"/>
  <c r="H19" i="92"/>
  <c r="C85" i="91"/>
  <c r="F85" i="91"/>
  <c r="H85" i="91"/>
  <c r="F19" i="91"/>
  <c r="C19" i="91"/>
  <c r="Y577" i="38" l="1"/>
  <c r="Y576" i="38"/>
  <c r="P577" i="38"/>
  <c r="Q8" i="93"/>
  <c r="Q7" i="93" s="1"/>
  <c r="Q2" i="91"/>
  <c r="Q3" i="91" s="1"/>
  <c r="Q6" i="91" s="1"/>
  <c r="M66" i="92"/>
  <c r="Q10" i="92" s="1"/>
  <c r="Q3" i="92"/>
  <c r="Q6" i="92" s="1"/>
  <c r="O577" i="38"/>
  <c r="O576" i="38"/>
  <c r="U577" i="38"/>
  <c r="Q8" i="92"/>
  <c r="M66" i="91"/>
  <c r="Q10" i="91" s="1"/>
  <c r="Q8" i="9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Q9" i="93" l="1"/>
  <c r="Y575" i="38"/>
  <c r="O575" i="38"/>
  <c r="Q9" i="92"/>
  <c r="Q7" i="92"/>
  <c r="Q9" i="91"/>
  <c r="Q7" i="91"/>
  <c r="P575" i="38"/>
  <c r="U575" i="38"/>
  <c r="A574" i="38"/>
  <c r="D574" i="38"/>
  <c r="E574" i="38"/>
  <c r="Y574" i="38" s="1"/>
  <c r="G574" i="38"/>
  <c r="H574" i="38"/>
  <c r="K574" i="38"/>
  <c r="L574" i="38"/>
  <c r="M574" i="38"/>
  <c r="N574" i="38" s="1"/>
  <c r="S574" i="38"/>
  <c r="F159" i="25"/>
  <c r="H159" i="25"/>
  <c r="G159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8" i="25"/>
  <c r="G158" i="25"/>
  <c r="H158" i="25"/>
  <c r="Y573" i="38" l="1"/>
  <c r="F38" i="82"/>
  <c r="H38" i="82"/>
  <c r="G38" i="82"/>
  <c r="K5" i="82"/>
  <c r="A572" i="38"/>
  <c r="D572" i="38"/>
  <c r="E572" i="38"/>
  <c r="G572" i="38"/>
  <c r="H572" i="38"/>
  <c r="K572" i="38"/>
  <c r="L572" i="38" s="1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7" i="25"/>
  <c r="G157" i="25"/>
  <c r="H157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Y572" i="38" l="1"/>
  <c r="Y571" i="38"/>
  <c r="O572" i="38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Y570" i="38" s="1"/>
  <c r="G570" i="38"/>
  <c r="H570" i="38"/>
  <c r="K570" i="38"/>
  <c r="L570" i="38" s="1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6" i="25"/>
  <c r="H156" i="25"/>
  <c r="G156" i="25"/>
  <c r="K41" i="25"/>
  <c r="F33" i="81"/>
  <c r="H33" i="81"/>
  <c r="G33" i="81"/>
  <c r="F7" i="81"/>
  <c r="A569" i="38"/>
  <c r="D569" i="38"/>
  <c r="E569" i="38"/>
  <c r="Y569" i="38" s="1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Y568" i="38" s="1"/>
  <c r="G568" i="38"/>
  <c r="H568" i="38"/>
  <c r="K568" i="38"/>
  <c r="L568" i="38" s="1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Y567" i="38" s="1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Y566" i="38" s="1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5" i="25"/>
  <c r="H155" i="25"/>
  <c r="G155" i="25"/>
  <c r="K40" i="25"/>
  <c r="F154" i="25"/>
  <c r="H154" i="25"/>
  <c r="G154" i="25"/>
  <c r="K39" i="25"/>
  <c r="F35" i="82"/>
  <c r="H35" i="82"/>
  <c r="G35" i="82"/>
  <c r="K4" i="82"/>
  <c r="F53" i="25"/>
  <c r="Y565" i="38" l="1"/>
  <c r="O565" i="38"/>
  <c r="U565" i="38"/>
  <c r="P565" i="38"/>
  <c r="Q11" i="89"/>
  <c r="F153" i="25"/>
  <c r="H153" i="25"/>
  <c r="G153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2" i="25"/>
  <c r="H152" i="25"/>
  <c r="G152" i="25"/>
  <c r="F51" i="25"/>
  <c r="F61" i="58"/>
  <c r="H61" i="58"/>
  <c r="G61" i="58"/>
  <c r="F15" i="58"/>
  <c r="H21" i="74"/>
  <c r="G21" i="74"/>
  <c r="F21" i="74"/>
  <c r="F2" i="74"/>
  <c r="Y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60" i="58"/>
  <c r="G60" i="58"/>
  <c r="H60" i="58"/>
  <c r="F34" i="82"/>
  <c r="G34" i="82"/>
  <c r="H34" i="82"/>
  <c r="AC25" i="31" l="1"/>
  <c r="F151" i="25"/>
  <c r="H151" i="25"/>
  <c r="G151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Y563" i="38" s="1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50" i="25"/>
  <c r="H150" i="25"/>
  <c r="G150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Y562" i="38" l="1"/>
  <c r="P562" i="38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Y561" i="38" s="1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9" i="25"/>
  <c r="G149" i="25"/>
  <c r="H149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Y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Y559" i="38" s="1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8" i="25"/>
  <c r="G148" i="25"/>
  <c r="H148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K85" i="90"/>
  <c r="F19" i="90"/>
  <c r="F85" i="90"/>
  <c r="C85" i="90"/>
  <c r="H85" i="90"/>
  <c r="M19" i="90"/>
  <c r="C19" i="90"/>
  <c r="M85" i="90"/>
  <c r="H19" i="90"/>
  <c r="K19" i="90"/>
  <c r="Y558" i="38" l="1"/>
  <c r="Q2" i="90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7" i="25"/>
  <c r="H147" i="25"/>
  <c r="G147" i="25"/>
  <c r="K35" i="25"/>
  <c r="F90" i="51"/>
  <c r="G90" i="51"/>
  <c r="H90" i="51"/>
  <c r="F24" i="51"/>
  <c r="F89" i="51"/>
  <c r="G89" i="51"/>
  <c r="H89" i="51"/>
  <c r="F23" i="51"/>
  <c r="Y557" i="38" l="1"/>
  <c r="O557" i="38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6" i="25"/>
  <c r="G146" i="25"/>
  <c r="H146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Y556" i="38" l="1"/>
  <c r="O556" i="38"/>
  <c r="U556" i="38"/>
  <c r="P556" i="38"/>
  <c r="F27" i="81"/>
  <c r="G27" i="81"/>
  <c r="H27" i="81"/>
  <c r="F38" i="57"/>
  <c r="H38" i="57"/>
  <c r="G38" i="57"/>
  <c r="F44" i="77"/>
  <c r="H44" i="77"/>
  <c r="G44" i="77"/>
  <c r="F145" i="25"/>
  <c r="H145" i="25"/>
  <c r="G145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85" i="89"/>
  <c r="H19" i="89"/>
  <c r="C19" i="89"/>
  <c r="M19" i="89"/>
  <c r="F85" i="89"/>
  <c r="H42" i="51"/>
  <c r="K19" i="89"/>
  <c r="K85" i="89"/>
  <c r="H85" i="89"/>
  <c r="F19" i="89"/>
  <c r="M85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8"/>
  <c r="C19" i="88"/>
  <c r="K19" i="88"/>
  <c r="M85" i="88"/>
  <c r="M19" i="87"/>
  <c r="M85" i="87"/>
  <c r="F19" i="88"/>
  <c r="F85" i="87"/>
  <c r="C85" i="87"/>
  <c r="H19" i="87"/>
  <c r="K85" i="88"/>
  <c r="F85" i="88"/>
  <c r="K19" i="87"/>
  <c r="F19" i="87"/>
  <c r="M19" i="88"/>
  <c r="C85" i="88"/>
  <c r="C19" i="87"/>
  <c r="K85" i="87"/>
  <c r="H85" i="88"/>
  <c r="H85" i="87"/>
  <c r="Y554" i="38" l="1"/>
  <c r="Y555" i="38"/>
  <c r="Q2" i="87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Y553" i="38" l="1"/>
  <c r="P553" i="38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4" i="25"/>
  <c r="G144" i="25"/>
  <c r="H144" i="25"/>
  <c r="A552" i="38"/>
  <c r="D552" i="38"/>
  <c r="E552" i="38"/>
  <c r="Y552" i="38" s="1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Y551" i="38" s="1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P20" i="86"/>
  <c r="P19" i="86"/>
  <c r="P18" i="86"/>
  <c r="P17" i="86"/>
  <c r="P16" i="86"/>
  <c r="P15" i="86"/>
  <c r="H25" i="86"/>
  <c r="G25" i="86"/>
  <c r="F25" i="86"/>
  <c r="M18" i="86"/>
  <c r="H18" i="86"/>
  <c r="C18" i="86"/>
  <c r="K18" i="86"/>
  <c r="K6" i="70"/>
  <c r="C85" i="86"/>
  <c r="H85" i="86"/>
  <c r="F19" i="86"/>
  <c r="M85" i="86"/>
  <c r="C19" i="86"/>
  <c r="K85" i="86"/>
  <c r="F85" i="86"/>
  <c r="H19" i="86"/>
  <c r="K19" i="86"/>
  <c r="M19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M19" i="43"/>
  <c r="H19" i="43"/>
  <c r="C19" i="43"/>
  <c r="Y550" i="38" l="1"/>
  <c r="Q3" i="86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3" i="25"/>
  <c r="H143" i="25"/>
  <c r="G143" i="25"/>
  <c r="K33" i="25"/>
  <c r="F38" i="84"/>
  <c r="H38" i="84"/>
  <c r="G38" i="84"/>
  <c r="K5" i="84"/>
  <c r="F142" i="25"/>
  <c r="G142" i="25"/>
  <c r="H142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41" i="25"/>
  <c r="H141" i="25"/>
  <c r="Y549" i="38" l="1"/>
  <c r="Q9" i="86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41" i="25"/>
  <c r="K30" i="25"/>
  <c r="Y548" i="38" l="1"/>
  <c r="P548" i="38"/>
  <c r="O548" i="38"/>
  <c r="U548" i="38"/>
  <c r="F140" i="25"/>
  <c r="G140" i="25"/>
  <c r="H140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Y547" i="38" l="1"/>
  <c r="P547" i="38"/>
  <c r="O547" i="38"/>
  <c r="U547" i="38"/>
  <c r="F139" i="25"/>
  <c r="H139" i="25"/>
  <c r="G139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8" i="25"/>
  <c r="H138" i="25"/>
  <c r="G138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Y546" i="38" l="1"/>
  <c r="P545" i="38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Y545" i="38" l="1"/>
  <c r="N544" i="38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Y544" i="38" l="1"/>
  <c r="P543" i="38"/>
  <c r="N543" i="38"/>
  <c r="O543" i="38" s="1"/>
  <c r="F56" i="58"/>
  <c r="G56" i="58"/>
  <c r="H56" i="58"/>
  <c r="F137" i="25"/>
  <c r="H137" i="25"/>
  <c r="G137" i="25"/>
  <c r="D542" i="38"/>
  <c r="E542" i="38"/>
  <c r="G542" i="38"/>
  <c r="H542" i="38"/>
  <c r="K542" i="38"/>
  <c r="L542" i="38" s="1"/>
  <c r="M542" i="38"/>
  <c r="U542" i="38" s="1"/>
  <c r="S542" i="38"/>
  <c r="Y543" i="38" l="1"/>
  <c r="P542" i="38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Y542" i="38" l="1"/>
  <c r="P541" i="38"/>
  <c r="N541" i="38"/>
  <c r="O541" i="38" s="1"/>
  <c r="Y541" i="38" l="1"/>
  <c r="Q11" i="74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Y539" i="38" l="1"/>
  <c r="Y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Y536" i="38" s="1"/>
  <c r="G536" i="38"/>
  <c r="H536" i="38"/>
  <c r="K536" i="38"/>
  <c r="L536" i="38" s="1"/>
  <c r="M536" i="38"/>
  <c r="N536" i="38" s="1"/>
  <c r="O536" i="38" s="1"/>
  <c r="S536" i="38"/>
  <c r="Y538" i="38" l="1"/>
  <c r="Y537" i="38"/>
  <c r="P536" i="38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6" i="25"/>
  <c r="H136" i="25"/>
  <c r="G136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Y535" i="38" l="1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5" i="25"/>
  <c r="H135" i="25"/>
  <c r="G135" i="25"/>
  <c r="F134" i="25"/>
  <c r="H134" i="25"/>
  <c r="G134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Y534" i="38" l="1"/>
  <c r="E533" i="38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Y533" i="38" l="1"/>
  <c r="P532" i="38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Y532" i="38" l="1"/>
  <c r="L531" i="38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Y531" i="38" l="1"/>
  <c r="P530" i="38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Y529" i="38" l="1"/>
  <c r="Y530" i="38"/>
  <c r="P529" i="38"/>
  <c r="U529" i="38"/>
  <c r="D528" i="38"/>
  <c r="E528" i="38"/>
  <c r="H528" i="38"/>
  <c r="K528" i="38"/>
  <c r="M528" i="38"/>
  <c r="U528" i="38" s="1"/>
  <c r="S528" i="38"/>
  <c r="F133" i="25"/>
  <c r="H133" i="25"/>
  <c r="G133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Y528" i="38" l="1"/>
  <c r="L527" i="38"/>
  <c r="P527" i="38" s="1"/>
  <c r="N527" i="38"/>
  <c r="O527" i="38" s="1"/>
  <c r="F42" i="77"/>
  <c r="G42" i="77"/>
  <c r="H42" i="77"/>
  <c r="Y527" i="38" l="1"/>
  <c r="F78" i="5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Y526" i="38" l="1"/>
  <c r="P525" i="38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Y525" i="38" l="1"/>
  <c r="N524" i="38"/>
  <c r="O524" i="38" s="1"/>
  <c r="P524" i="38"/>
  <c r="F41" i="77"/>
  <c r="H41" i="77"/>
  <c r="G41" i="77"/>
  <c r="K3" i="77"/>
  <c r="F132" i="25"/>
  <c r="H132" i="25"/>
  <c r="G132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Y524" i="38" l="1"/>
  <c r="N523" i="38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Y523" i="38" l="1"/>
  <c r="N522" i="38"/>
  <c r="O522" i="38" s="1"/>
  <c r="P522" i="38"/>
  <c r="F77" i="51"/>
  <c r="G77" i="51"/>
  <c r="H77" i="51"/>
  <c r="F54" i="58"/>
  <c r="G54" i="58"/>
  <c r="H54" i="58"/>
  <c r="Y522" i="38" l="1"/>
  <c r="D521" i="38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Y521" i="38" l="1"/>
  <c r="N520" i="38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31" i="25"/>
  <c r="H131" i="25"/>
  <c r="G131" i="25"/>
  <c r="F46" i="25"/>
  <c r="F51" i="43"/>
  <c r="H51" i="43"/>
  <c r="G51" i="43"/>
  <c r="M18" i="43"/>
  <c r="H18" i="43"/>
  <c r="K6" i="43"/>
  <c r="C21" i="40"/>
  <c r="C19" i="46"/>
  <c r="H19" i="46"/>
  <c r="M19" i="46"/>
  <c r="K19" i="46"/>
  <c r="Y520" i="38" l="1"/>
  <c r="P519" i="38"/>
  <c r="N519" i="38"/>
  <c r="O519" i="38" s="1"/>
  <c r="K5" i="43"/>
  <c r="D518" i="38"/>
  <c r="E518" i="38"/>
  <c r="Y518" i="38" s="1"/>
  <c r="G518" i="38"/>
  <c r="H518" i="38"/>
  <c r="K518" i="38"/>
  <c r="L518" i="38" s="1"/>
  <c r="M518" i="38"/>
  <c r="N518" i="38" s="1"/>
  <c r="O518" i="38" s="1"/>
  <c r="S518" i="38"/>
  <c r="Y519" i="38" l="1"/>
  <c r="U518" i="38"/>
  <c r="P518" i="38"/>
  <c r="D517" i="38"/>
  <c r="E517" i="38"/>
  <c r="Y517" i="38" s="1"/>
  <c r="G517" i="38"/>
  <c r="H517" i="38"/>
  <c r="K517" i="38"/>
  <c r="L517" i="38" s="1"/>
  <c r="M517" i="38"/>
  <c r="N517" i="38" s="1"/>
  <c r="O517" i="38" s="1"/>
  <c r="S517" i="38"/>
  <c r="F130" i="25"/>
  <c r="H130" i="25"/>
  <c r="G130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9" i="25"/>
  <c r="H129" i="25"/>
  <c r="G129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Y515" i="38" l="1"/>
  <c r="Y516" i="38"/>
  <c r="P515" i="38"/>
  <c r="U515" i="38"/>
  <c r="F7" i="70"/>
  <c r="F33" i="70"/>
  <c r="H33" i="70"/>
  <c r="G33" i="70"/>
  <c r="K4" i="70"/>
  <c r="F128" i="25"/>
  <c r="H128" i="25"/>
  <c r="G128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Y514" i="38" l="1"/>
  <c r="P514" i="38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Y513" i="38" l="1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Y512" i="38" l="1"/>
  <c r="N511" i="38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Y511" i="38" l="1"/>
  <c r="N510" i="38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Y510" i="38" l="1"/>
  <c r="P509" i="38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Y509" i="38" l="1"/>
  <c r="P508" i="38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7" i="25"/>
  <c r="G127" i="25"/>
  <c r="H127" i="25"/>
  <c r="Y508" i="38" l="1"/>
  <c r="P507" i="38"/>
  <c r="N507" i="38"/>
  <c r="O507" i="38" s="1"/>
  <c r="F126" i="25"/>
  <c r="G126" i="25"/>
  <c r="H126" i="25"/>
  <c r="F49" i="43"/>
  <c r="H49" i="43"/>
  <c r="G49" i="43"/>
  <c r="K4" i="43"/>
  <c r="F37" i="77"/>
  <c r="G37" i="77"/>
  <c r="H37" i="77"/>
  <c r="Y507" i="38" l="1"/>
  <c r="D506" i="38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Y506" i="38" l="1"/>
  <c r="P505" i="38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Y505" i="38" l="1"/>
  <c r="N504" i="38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Y504" i="38" l="1"/>
  <c r="P503" i="38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Y503" i="38" l="1"/>
  <c r="P502" i="38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5" i="25"/>
  <c r="G125" i="25"/>
  <c r="H125" i="25"/>
  <c r="Y502" i="38" l="1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Y501" i="38" l="1"/>
  <c r="P500" i="38"/>
  <c r="N500" i="38"/>
  <c r="O500" i="38" s="1"/>
  <c r="F34" i="31"/>
  <c r="H34" i="31"/>
  <c r="G34" i="31"/>
  <c r="Y500" i="38" l="1"/>
  <c r="D499" i="38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Y499" i="38" l="1"/>
  <c r="P499" i="38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Y497" i="38" l="1"/>
  <c r="Y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Y496" i="38" l="1"/>
  <c r="D495" i="38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Y495" i="38" l="1"/>
  <c r="P494" i="38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4" i="25"/>
  <c r="H124" i="25"/>
  <c r="G124" i="25"/>
  <c r="K21" i="25"/>
  <c r="Y494" i="38" l="1"/>
  <c r="P493" i="38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Y493" i="38" l="1"/>
  <c r="N492" i="38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Y492" i="38" l="1"/>
  <c r="F46" i="43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3" i="25"/>
  <c r="H123" i="25"/>
  <c r="G123" i="25"/>
  <c r="F45" i="25"/>
  <c r="F2" i="45"/>
  <c r="Y491" i="38" l="1"/>
  <c r="P490" i="38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2" i="25"/>
  <c r="H122" i="25"/>
  <c r="G122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Y490" i="38" l="1"/>
  <c r="P489" i="38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21" i="25"/>
  <c r="H121" i="25"/>
  <c r="G121" i="25"/>
  <c r="K19" i="25"/>
  <c r="M72" i="25"/>
  <c r="Y489" i="38" l="1"/>
  <c r="P488" i="38"/>
  <c r="N488" i="38"/>
  <c r="O488" i="38" s="1"/>
  <c r="D487" i="38"/>
  <c r="E487" i="38"/>
  <c r="Y487" i="38" s="1"/>
  <c r="G487" i="38"/>
  <c r="H487" i="38"/>
  <c r="K487" i="38"/>
  <c r="L487" i="38" s="1"/>
  <c r="M487" i="38"/>
  <c r="N487" i="38" s="1"/>
  <c r="O487" i="38" s="1"/>
  <c r="S487" i="38"/>
  <c r="Y488" i="38" l="1"/>
  <c r="P487" i="38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20" i="25"/>
  <c r="H120" i="25"/>
  <c r="G120" i="25"/>
  <c r="K18" i="25"/>
  <c r="F119" i="25"/>
  <c r="H119" i="25"/>
  <c r="G119" i="25"/>
  <c r="K17" i="25"/>
  <c r="P486" i="38" l="1"/>
  <c r="N486" i="38"/>
  <c r="O486" i="38" s="1"/>
  <c r="F118" i="25"/>
  <c r="G118" i="25"/>
  <c r="H118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Y486" i="38" l="1"/>
  <c r="P485" i="38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C19" i="85"/>
  <c r="K85" i="85"/>
  <c r="C85" i="85"/>
  <c r="F19" i="85"/>
  <c r="H85" i="85"/>
  <c r="M19" i="85"/>
  <c r="F85" i="85"/>
  <c r="K19" i="85"/>
  <c r="M85" i="85"/>
  <c r="H19" i="85"/>
  <c r="Y485" i="38" l="1"/>
  <c r="Q2" i="85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K19" i="83"/>
  <c r="M19" i="83"/>
  <c r="C19" i="84"/>
  <c r="H19" i="83"/>
  <c r="H19" i="84"/>
  <c r="M19" i="84"/>
  <c r="H85" i="84"/>
  <c r="M85" i="84"/>
  <c r="C85" i="84"/>
  <c r="C85" i="83"/>
  <c r="K85" i="83"/>
  <c r="F85" i="83"/>
  <c r="C19" i="83"/>
  <c r="K85" i="84"/>
  <c r="M85" i="83"/>
  <c r="H85" i="83"/>
  <c r="F19" i="84"/>
  <c r="F85" i="84"/>
  <c r="F19" i="83"/>
  <c r="Y484" i="38" l="1"/>
  <c r="Q5" i="85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Y483" i="38" l="1"/>
  <c r="Q7" i="84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7" i="25"/>
  <c r="G117" i="25"/>
  <c r="H117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K85" i="82"/>
  <c r="H18" i="74"/>
  <c r="C85" i="82"/>
  <c r="M19" i="82"/>
  <c r="M18" i="74"/>
  <c r="M85" i="82"/>
  <c r="F85" i="82"/>
  <c r="H85" i="82"/>
  <c r="C18" i="74"/>
  <c r="F19" i="82"/>
  <c r="C19" i="82"/>
  <c r="H19" i="82"/>
  <c r="Q2" i="82" l="1"/>
  <c r="Q5" i="82" s="1"/>
  <c r="Q9" i="83"/>
  <c r="N482" i="38"/>
  <c r="O482" i="38" s="1"/>
  <c r="M66" i="82"/>
  <c r="Q10" i="82" s="1"/>
  <c r="P482" i="38"/>
  <c r="Y482" i="38" l="1"/>
  <c r="Q3" i="82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Y481" i="38" l="1"/>
  <c r="N480" i="38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Y480" i="38" l="1"/>
  <c r="N479" i="38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Y479" i="38" l="1"/>
  <c r="P478" i="38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Y478" i="38" l="1"/>
  <c r="N477" i="38"/>
  <c r="O477" i="38" s="1"/>
  <c r="P477" i="38"/>
  <c r="F31" i="31"/>
  <c r="G31" i="31"/>
  <c r="H31" i="31"/>
  <c r="F32" i="77"/>
  <c r="H32" i="77"/>
  <c r="G32" i="77"/>
  <c r="Y477" i="38" l="1"/>
  <c r="L71" i="5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6" i="25"/>
  <c r="G116" i="25"/>
  <c r="H116" i="25"/>
  <c r="K15" i="25"/>
  <c r="F29" i="78"/>
  <c r="H29" i="78"/>
  <c r="G29" i="78"/>
  <c r="F29" i="70"/>
  <c r="H29" i="70"/>
  <c r="G29" i="70"/>
  <c r="K5" i="51"/>
  <c r="F6" i="70"/>
  <c r="F115" i="25"/>
  <c r="H115" i="25"/>
  <c r="G115" i="25"/>
  <c r="F44" i="25"/>
  <c r="F28" i="78"/>
  <c r="G28" i="78"/>
  <c r="H28" i="78"/>
  <c r="F2" i="78"/>
  <c r="K3" i="70"/>
  <c r="F20" i="51"/>
  <c r="F19" i="51"/>
  <c r="F18" i="51"/>
  <c r="Y476" i="38" l="1"/>
  <c r="P476" i="38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Y475" i="38" l="1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4" i="25"/>
  <c r="H114" i="25"/>
  <c r="G114" i="25"/>
  <c r="K14" i="25"/>
  <c r="C78" i="75"/>
  <c r="F96" i="31"/>
  <c r="K96" i="31"/>
  <c r="M78" i="75"/>
  <c r="H96" i="31"/>
  <c r="K78" i="75"/>
  <c r="C96" i="31"/>
  <c r="M96" i="31"/>
  <c r="F78" i="75"/>
  <c r="H78" i="75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M19" i="64"/>
  <c r="H19" i="64"/>
  <c r="H85" i="64"/>
  <c r="K85" i="64"/>
  <c r="M85" i="64"/>
  <c r="K19" i="64"/>
  <c r="Y474" i="38" l="1"/>
  <c r="M54" i="31"/>
  <c r="Q10" i="31" s="1"/>
  <c r="M59" i="75"/>
  <c r="Q10" i="75" s="1"/>
  <c r="N473" i="38"/>
  <c r="O473" i="38" s="1"/>
  <c r="P473" i="38"/>
  <c r="F27" i="78"/>
  <c r="G27" i="78"/>
  <c r="H27" i="78"/>
  <c r="S472" i="38"/>
  <c r="Y473" i="38" l="1"/>
  <c r="F69" i="5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Y471" i="38" s="1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3" i="25"/>
  <c r="H113" i="25"/>
  <c r="G113" i="25"/>
  <c r="K13" i="25"/>
  <c r="F28" i="63"/>
  <c r="G28" i="63"/>
  <c r="H28" i="63"/>
  <c r="F9" i="43"/>
  <c r="Y472" i="38" l="1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Y470" i="38" l="1"/>
  <c r="P470" i="38"/>
  <c r="D469" i="38"/>
  <c r="E469" i="38"/>
  <c r="G469" i="38"/>
  <c r="H469" i="38"/>
  <c r="K469" i="38"/>
  <c r="L469" i="38" s="1"/>
  <c r="M469" i="38"/>
  <c r="N469" i="38" s="1"/>
  <c r="O469" i="38" s="1"/>
  <c r="S469" i="38"/>
  <c r="Y469" i="38" l="1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18" i="81"/>
  <c r="K18" i="81"/>
  <c r="H18" i="81"/>
  <c r="F27" i="63"/>
  <c r="G27" i="63"/>
  <c r="H27" i="63"/>
  <c r="C85" i="81"/>
  <c r="K85" i="81"/>
  <c r="M19" i="81"/>
  <c r="M85" i="81"/>
  <c r="H85" i="81"/>
  <c r="F85" i="81"/>
  <c r="H19" i="81"/>
  <c r="F19" i="81"/>
  <c r="C19" i="81"/>
  <c r="Y468" i="38" l="1"/>
  <c r="M66" i="81"/>
  <c r="J29" i="81" s="1"/>
  <c r="P468" i="38"/>
  <c r="Q2" i="81"/>
  <c r="Q5" i="81" s="1"/>
  <c r="H467" i="38"/>
  <c r="D467" i="38"/>
  <c r="E467" i="38"/>
  <c r="Y467" i="38" s="1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Y466" i="38" s="1"/>
  <c r="G466" i="38"/>
  <c r="H466" i="38"/>
  <c r="K466" i="38"/>
  <c r="L466" i="38" s="1"/>
  <c r="M466" i="38"/>
  <c r="N466" i="38" s="1"/>
  <c r="O466" i="38" s="1"/>
  <c r="S466" i="38"/>
  <c r="F112" i="25"/>
  <c r="H112" i="25"/>
  <c r="G112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H85" i="80"/>
  <c r="K85" i="80"/>
  <c r="M85" i="80"/>
  <c r="F85" i="80"/>
  <c r="K19" i="80"/>
  <c r="H19" i="80"/>
  <c r="C19" i="80"/>
  <c r="F19" i="80"/>
  <c r="M19" i="80"/>
  <c r="Q9" i="81" l="1"/>
  <c r="P466" i="38"/>
  <c r="Q7" i="81"/>
  <c r="Q2" i="80"/>
  <c r="Q5" i="80" s="1"/>
  <c r="M66" i="80"/>
  <c r="Q10" i="80" s="1"/>
  <c r="D465" i="38"/>
  <c r="E465" i="38"/>
  <c r="Y465" i="38" s="1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Y464" i="38" s="1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K65" i="79"/>
  <c r="K19" i="79"/>
  <c r="C19" i="79"/>
  <c r="F19" i="79"/>
  <c r="H65" i="79"/>
  <c r="F65" i="79"/>
  <c r="C65" i="79"/>
  <c r="M65" i="79"/>
  <c r="H19" i="79"/>
  <c r="M19" i="79"/>
  <c r="Y463" i="38" l="1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Y462" i="38" l="1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Y461" i="38" l="1"/>
  <c r="N460" i="38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Y460" i="38" l="1"/>
  <c r="N459" i="38"/>
  <c r="O459" i="38" s="1"/>
  <c r="P459" i="38"/>
  <c r="F111" i="25"/>
  <c r="G111" i="25"/>
  <c r="H111" i="25"/>
  <c r="Y459" i="38" l="1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10" i="25"/>
  <c r="H110" i="25"/>
  <c r="G110" i="25"/>
  <c r="F39" i="25"/>
  <c r="K12" i="25"/>
  <c r="H13" i="40"/>
  <c r="H29" i="40" s="1"/>
  <c r="Y458" i="38" l="1"/>
  <c r="P457" i="38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Y456" i="38" l="1"/>
  <c r="Y457" i="38"/>
  <c r="P456" i="38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Y455" i="38" l="1"/>
  <c r="P455" i="38"/>
  <c r="D454" i="38"/>
  <c r="E454" i="38"/>
  <c r="G454" i="38"/>
  <c r="H454" i="38"/>
  <c r="K454" i="38"/>
  <c r="L454" i="38" s="1"/>
  <c r="M454" i="38"/>
  <c r="N454" i="38" s="1"/>
  <c r="O454" i="38" s="1"/>
  <c r="S454" i="38"/>
  <c r="F109" i="25"/>
  <c r="G109" i="25"/>
  <c r="H109" i="25"/>
  <c r="K11" i="25"/>
  <c r="K103" i="7"/>
  <c r="F67" i="51"/>
  <c r="G67" i="51"/>
  <c r="H67" i="51"/>
  <c r="K4" i="51"/>
  <c r="Y454" i="38" l="1"/>
  <c r="P454" i="38"/>
  <c r="D453" i="38"/>
  <c r="E453" i="38"/>
  <c r="G453" i="38"/>
  <c r="H453" i="38"/>
  <c r="K453" i="38"/>
  <c r="L453" i="38" s="1"/>
  <c r="M453" i="38"/>
  <c r="N453" i="38" s="1"/>
  <c r="O453" i="38" s="1"/>
  <c r="S453" i="38"/>
  <c r="F108" i="25"/>
  <c r="H108" i="25"/>
  <c r="G108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Y453" i="38" l="1"/>
  <c r="P453" i="38"/>
  <c r="F35" i="64"/>
  <c r="H35" i="64"/>
  <c r="G35" i="64"/>
  <c r="D452" i="38"/>
  <c r="E452" i="38"/>
  <c r="Y452" i="38" s="1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Y451" i="38" l="1"/>
  <c r="P451" i="38"/>
  <c r="D450" i="38"/>
  <c r="E450" i="38"/>
  <c r="G450" i="38"/>
  <c r="H450" i="38"/>
  <c r="K450" i="38"/>
  <c r="L450" i="38" s="1"/>
  <c r="M450" i="38"/>
  <c r="N450" i="38" s="1"/>
  <c r="O450" i="38" s="1"/>
  <c r="S450" i="38"/>
  <c r="Y450" i="38" l="1"/>
  <c r="P450" i="38"/>
  <c r="F66" i="51"/>
  <c r="G66" i="51"/>
  <c r="H66" i="51"/>
  <c r="F43" i="43"/>
  <c r="G43" i="43"/>
  <c r="H43" i="43"/>
  <c r="F107" i="25"/>
  <c r="G107" i="25"/>
  <c r="H107" i="25"/>
  <c r="D449" i="38"/>
  <c r="E449" i="38"/>
  <c r="Y449" i="38" s="1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Y448" i="38" l="1"/>
  <c r="P448" i="38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Y447" i="38" l="1"/>
  <c r="P447" i="38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C85" i="78"/>
  <c r="K85" i="78"/>
  <c r="M85" i="78"/>
  <c r="C19" i="78"/>
  <c r="H19" i="78"/>
  <c r="M19" i="78"/>
  <c r="F19" i="78"/>
  <c r="H85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Y446" i="38" l="1"/>
  <c r="Q9" i="78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Y445" i="38" l="1"/>
  <c r="P444" i="38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Y444" i="38" l="1"/>
  <c r="P443" i="38"/>
  <c r="N443" i="38"/>
  <c r="O443" i="38" s="1"/>
  <c r="D442" i="38"/>
  <c r="E442" i="38"/>
  <c r="Y442" i="38" s="1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Y443" i="38" l="1"/>
  <c r="K18" i="43"/>
  <c r="P442" i="38"/>
  <c r="U442" i="38"/>
  <c r="M71" i="25"/>
  <c r="F106" i="25"/>
  <c r="H106" i="25"/>
  <c r="G106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Y441" i="38" l="1"/>
  <c r="N440" i="38"/>
  <c r="O440" i="38" s="1"/>
  <c r="P440" i="38"/>
  <c r="E439" i="38"/>
  <c r="H439" i="38"/>
  <c r="K439" i="38"/>
  <c r="L439" i="38" s="1"/>
  <c r="P439" i="38" s="1"/>
  <c r="M439" i="38"/>
  <c r="U439" i="38" s="1"/>
  <c r="S439" i="38"/>
  <c r="Y440" i="38" l="1"/>
  <c r="N439" i="38"/>
  <c r="O439" i="38" s="1"/>
  <c r="E438" i="38"/>
  <c r="H438" i="38"/>
  <c r="K438" i="38"/>
  <c r="L438" i="38" s="1"/>
  <c r="P438" i="38" s="1"/>
  <c r="M438" i="38"/>
  <c r="U438" i="38" s="1"/>
  <c r="S438" i="38"/>
  <c r="Y439" i="38" l="1"/>
  <c r="N438" i="38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Y438" i="38" l="1"/>
  <c r="P437" i="38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E435" i="38"/>
  <c r="H435" i="38"/>
  <c r="K435" i="38"/>
  <c r="L435" i="38" s="1"/>
  <c r="M435" i="38"/>
  <c r="U435" i="38" s="1"/>
  <c r="S435" i="38"/>
  <c r="F85" i="77"/>
  <c r="K85" i="77"/>
  <c r="H85" i="77"/>
  <c r="M19" i="77"/>
  <c r="C85" i="77"/>
  <c r="M85" i="77"/>
  <c r="F19" i="77"/>
  <c r="C19" i="77"/>
  <c r="H19" i="77"/>
  <c r="Y437" i="38" l="1"/>
  <c r="Q2" i="77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Y435" i="38" l="1"/>
  <c r="Y436" i="38"/>
  <c r="Q8" i="77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Y433" i="38" l="1"/>
  <c r="Y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Y432" i="38" l="1"/>
  <c r="N431" i="38"/>
  <c r="O431" i="38" s="1"/>
  <c r="P431" i="38"/>
  <c r="D430" i="38"/>
  <c r="E430" i="38"/>
  <c r="H430" i="38"/>
  <c r="K430" i="38"/>
  <c r="M430" i="38"/>
  <c r="U430" i="38" s="1"/>
  <c r="S430" i="38"/>
  <c r="Y431" i="38" l="1"/>
  <c r="N430" i="38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5" i="25"/>
  <c r="H105" i="25"/>
  <c r="G105" i="25"/>
  <c r="F35" i="25"/>
  <c r="F34" i="25"/>
  <c r="Y430" i="38" l="1"/>
  <c r="Y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Y428" i="38" l="1"/>
  <c r="P427" i="38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Y426" i="38" l="1"/>
  <c r="Y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4" i="25"/>
  <c r="H104" i="25"/>
  <c r="G104" i="25"/>
  <c r="K10" i="25"/>
  <c r="E424" i="38"/>
  <c r="H424" i="38"/>
  <c r="K424" i="38"/>
  <c r="L424" i="38" s="1"/>
  <c r="P424" i="38" s="1"/>
  <c r="M424" i="38"/>
  <c r="U424" i="38" s="1"/>
  <c r="S424" i="38"/>
  <c r="Y424" i="38" l="1"/>
  <c r="N424" i="38"/>
  <c r="O424" i="38" s="1"/>
  <c r="M73" i="76"/>
  <c r="Q10" i="76" s="1"/>
  <c r="N425" i="38"/>
  <c r="O425" i="38" s="1"/>
  <c r="F103" i="25"/>
  <c r="H103" i="25"/>
  <c r="G103" i="25"/>
  <c r="F33" i="25"/>
  <c r="F266" i="7"/>
  <c r="H266" i="7"/>
  <c r="G266" i="7"/>
  <c r="K102" i="7"/>
  <c r="G23" i="50"/>
  <c r="K23" i="50" s="1"/>
  <c r="F23" i="50"/>
  <c r="M18" i="50"/>
  <c r="C18" i="50"/>
  <c r="F18" i="50"/>
  <c r="F102" i="25"/>
  <c r="H102" i="25"/>
  <c r="G102" i="25"/>
  <c r="K9" i="25"/>
  <c r="F32" i="25"/>
  <c r="Y425" i="38" l="1"/>
  <c r="E423" i="38"/>
  <c r="H423" i="38"/>
  <c r="K423" i="38"/>
  <c r="L423" i="38" s="1"/>
  <c r="P423" i="38" s="1"/>
  <c r="M423" i="38"/>
  <c r="U423" i="38" s="1"/>
  <c r="S423" i="38"/>
  <c r="F101" i="25"/>
  <c r="H101" i="25"/>
  <c r="G101" i="25"/>
  <c r="F31" i="25"/>
  <c r="F265" i="7"/>
  <c r="H265" i="7"/>
  <c r="G265" i="7"/>
  <c r="K101" i="7"/>
  <c r="Y423" i="38" l="1"/>
  <c r="N423" i="38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Y422" i="38" l="1"/>
  <c r="P422" i="38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Y421" i="38" l="1"/>
  <c r="N421" i="38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100" i="25"/>
  <c r="H100" i="25"/>
  <c r="G100" i="25"/>
  <c r="F31" i="64"/>
  <c r="H31" i="64"/>
  <c r="G31" i="64"/>
  <c r="Y420" i="38" l="1"/>
  <c r="P419" i="38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Y419" i="38" l="1"/>
  <c r="F158" i="1"/>
  <c r="K158" i="1"/>
  <c r="F165" i="1"/>
  <c r="N165" i="1" s="1"/>
  <c r="O165" i="1" s="1"/>
  <c r="N161" i="1"/>
  <c r="O161" i="1" s="1"/>
  <c r="E418" i="38"/>
  <c r="Y418" i="38" s="1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Y417" i="38" l="1"/>
  <c r="P417" i="38"/>
  <c r="U417" i="38"/>
  <c r="E416" i="38"/>
  <c r="H416" i="38"/>
  <c r="K416" i="38"/>
  <c r="L416" i="38" s="1"/>
  <c r="M416" i="38"/>
  <c r="U416" i="38" s="1"/>
  <c r="S416" i="38"/>
  <c r="F99" i="25"/>
  <c r="H99" i="25"/>
  <c r="G99" i="25"/>
  <c r="K8" i="25"/>
  <c r="Y416" i="38" l="1"/>
  <c r="P416" i="38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8" i="25"/>
  <c r="H98" i="25"/>
  <c r="G98" i="25"/>
  <c r="E415" i="38" l="1"/>
  <c r="H415" i="38"/>
  <c r="K415" i="38"/>
  <c r="L415" i="38" s="1"/>
  <c r="P415" i="38" s="1"/>
  <c r="M415" i="38"/>
  <c r="U415" i="38" s="1"/>
  <c r="S415" i="38"/>
  <c r="F97" i="25"/>
  <c r="H97" i="25"/>
  <c r="G97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Y415" i="38" l="1"/>
  <c r="N414" i="38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Y414" i="38" l="1"/>
  <c r="N413" i="38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Y413" i="38" l="1"/>
  <c r="N412" i="38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Y412" i="38" l="1"/>
  <c r="N411" i="38"/>
  <c r="O411" i="38" s="1"/>
  <c r="P411" i="38"/>
  <c r="F96" i="25"/>
  <c r="H96" i="25"/>
  <c r="G96" i="25"/>
  <c r="Y411" i="38" l="1"/>
  <c r="E410" i="38"/>
  <c r="H410" i="38"/>
  <c r="K410" i="38"/>
  <c r="L410" i="38" s="1"/>
  <c r="P410" i="38" s="1"/>
  <c r="M410" i="38"/>
  <c r="N410" i="38" s="1"/>
  <c r="O410" i="38" s="1"/>
  <c r="S410" i="38"/>
  <c r="Y410" i="38" l="1"/>
  <c r="U410" i="38"/>
  <c r="D409" i="38"/>
  <c r="E409" i="38"/>
  <c r="H409" i="38"/>
  <c r="K409" i="38"/>
  <c r="M409" i="38"/>
  <c r="N409" i="38" s="1"/>
  <c r="O409" i="38" s="1"/>
  <c r="S409" i="38"/>
  <c r="Y409" i="38" l="1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Y408" i="38" l="1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H77" i="69"/>
  <c r="F77" i="69"/>
  <c r="M77" i="69"/>
  <c r="K77" i="69"/>
  <c r="Y407" i="38" l="1"/>
  <c r="N407" i="38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Y406" i="38" l="1"/>
  <c r="F38" i="43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Y405" i="38" l="1"/>
  <c r="N404" i="38"/>
  <c r="O404" i="38" s="1"/>
  <c r="F95" i="25"/>
  <c r="H95" i="25"/>
  <c r="G95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Y404" i="38" l="1"/>
  <c r="N403" i="38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Y403" i="38" l="1"/>
  <c r="N402" i="38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F19" i="76"/>
  <c r="C19" i="76"/>
  <c r="K19" i="76"/>
  <c r="H19" i="76"/>
  <c r="Y402" i="38" l="1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Y401" i="38" l="1"/>
  <c r="Q9" i="76"/>
  <c r="F94" i="25"/>
  <c r="H94" i="25"/>
  <c r="G94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Y400" i="38" l="1"/>
  <c r="N399" i="38"/>
  <c r="O399" i="38" s="1"/>
  <c r="P399" i="38"/>
  <c r="Y399" i="38" l="1"/>
  <c r="F35" i="58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Y398" i="38" s="1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Y397" i="38" l="1"/>
  <c r="N396" i="38"/>
  <c r="O396" i="38" s="1"/>
  <c r="P396" i="38"/>
  <c r="Y396" i="38" l="1"/>
  <c r="E395" i="38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Y395" i="38" l="1"/>
  <c r="P395" i="38"/>
  <c r="U395" i="38"/>
  <c r="D394" i="38"/>
  <c r="E394" i="38"/>
  <c r="H394" i="38"/>
  <c r="K394" i="38"/>
  <c r="L394" i="38" s="1"/>
  <c r="M394" i="38"/>
  <c r="U394" i="38" s="1"/>
  <c r="S394" i="38"/>
  <c r="F93" i="25"/>
  <c r="G93" i="25"/>
  <c r="H93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Y393" i="38" l="1"/>
  <c r="Y394" i="38"/>
  <c r="N392" i="38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Y392" i="38" l="1"/>
  <c r="P391" i="38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Y391" i="38" l="1"/>
  <c r="N390" i="38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2" i="25"/>
  <c r="H92" i="25"/>
  <c r="G92" i="25"/>
  <c r="K6" i="25"/>
  <c r="Y390" i="38" l="1"/>
  <c r="N389" i="38"/>
  <c r="O389" i="38" s="1"/>
  <c r="P389" i="38"/>
  <c r="F91" i="25"/>
  <c r="G91" i="25"/>
  <c r="H91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90" i="25"/>
  <c r="G90" i="25"/>
  <c r="H9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Y388" i="38" l="1"/>
  <c r="Y389" i="38"/>
  <c r="U388" i="38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9" i="25"/>
  <c r="G89" i="25"/>
  <c r="H89" i="25"/>
  <c r="K427" i="17"/>
  <c r="F427" i="17"/>
  <c r="Y387" i="38" l="1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Y386" i="38" l="1"/>
  <c r="N385" i="38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8" i="25"/>
  <c r="G88" i="25"/>
  <c r="H88" i="25"/>
  <c r="F25" i="25"/>
  <c r="D383" i="38"/>
  <c r="E383" i="38"/>
  <c r="G383" i="38"/>
  <c r="H383" i="38"/>
  <c r="K383" i="38"/>
  <c r="L383" i="38" s="1"/>
  <c r="M383" i="38"/>
  <c r="U383" i="38" s="1"/>
  <c r="S383" i="38"/>
  <c r="Y385" i="38" l="1"/>
  <c r="N384" i="38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Y384" i="38" l="1"/>
  <c r="Y383" i="38"/>
  <c r="L382" i="38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Y382" i="38" l="1"/>
  <c r="N381" i="38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Y381" i="38" l="1"/>
  <c r="P380" i="38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7" i="25"/>
  <c r="G87" i="25"/>
  <c r="H87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Y379" i="38" l="1"/>
  <c r="Y380" i="38"/>
  <c r="Q2" i="40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6" i="25"/>
  <c r="G86" i="25"/>
  <c r="H86" i="25"/>
  <c r="D378" i="38"/>
  <c r="E378" i="38"/>
  <c r="Y378" i="38" s="1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5" i="25"/>
  <c r="G85" i="25"/>
  <c r="H8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Y377" i="38" l="1"/>
  <c r="P377" i="38"/>
  <c r="U377" i="38"/>
  <c r="F84" i="25"/>
  <c r="G84" i="25"/>
  <c r="H84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3" i="25"/>
  <c r="G83" i="25"/>
  <c r="H8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Y376" i="38" l="1"/>
  <c r="P375" i="38"/>
  <c r="N375" i="38"/>
  <c r="O375" i="38" s="1"/>
  <c r="F82" i="25"/>
  <c r="H82" i="25"/>
  <c r="G82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Y375" i="38" l="1"/>
  <c r="N374" i="38"/>
  <c r="O374" i="38" s="1"/>
  <c r="P374" i="38"/>
  <c r="E373" i="38"/>
  <c r="H373" i="38"/>
  <c r="K373" i="38"/>
  <c r="L373" i="38" s="1"/>
  <c r="M373" i="38"/>
  <c r="N373" i="38" s="1"/>
  <c r="O373" i="38" s="1"/>
  <c r="S373" i="38"/>
  <c r="Y373" i="38" l="1"/>
  <c r="Y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81" i="25"/>
  <c r="G81" i="25"/>
  <c r="H81" i="25"/>
  <c r="E372" i="38"/>
  <c r="H372" i="38"/>
  <c r="K372" i="38"/>
  <c r="L372" i="38" s="1"/>
  <c r="M372" i="38"/>
  <c r="U372" i="38" s="1"/>
  <c r="S372" i="38"/>
  <c r="N372" i="38" l="1"/>
  <c r="O372" i="38" s="1"/>
  <c r="P372" i="38"/>
  <c r="F80" i="25"/>
  <c r="G80" i="25"/>
  <c r="H80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Y372" i="38" l="1"/>
  <c r="N371" i="38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9" i="25"/>
  <c r="G79" i="25"/>
  <c r="H79" i="25"/>
  <c r="F21" i="25"/>
  <c r="F57" i="51"/>
  <c r="G57" i="51"/>
  <c r="H57" i="51"/>
  <c r="F11" i="51"/>
  <c r="F10" i="51"/>
  <c r="F9" i="51"/>
  <c r="M93" i="68"/>
  <c r="F93" i="68"/>
  <c r="K93" i="68"/>
  <c r="H93" i="68"/>
  <c r="C93" i="68"/>
  <c r="Y371" i="38" l="1"/>
  <c r="N370" i="38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8" i="25"/>
  <c r="G78" i="25"/>
  <c r="H78" i="25"/>
  <c r="K2" i="25"/>
  <c r="K72" i="25"/>
  <c r="Y370" i="38" l="1"/>
  <c r="K71" i="25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Y369" i="38" l="1"/>
  <c r="P368" i="38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Y368" i="38" l="1"/>
  <c r="P367" i="38"/>
  <c r="N367" i="38"/>
  <c r="O367" i="38" s="1"/>
  <c r="Y367" i="38" l="1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Y366" i="38" l="1"/>
  <c r="P365" i="38"/>
  <c r="N365" i="38"/>
  <c r="O365" i="38" s="1"/>
  <c r="F66" i="40"/>
  <c r="G66" i="40"/>
  <c r="H66" i="40"/>
  <c r="K418" i="17"/>
  <c r="F418" i="17"/>
  <c r="K417" i="17"/>
  <c r="F417" i="17"/>
  <c r="Y365" i="38" l="1"/>
  <c r="D364" i="38"/>
  <c r="E364" i="38"/>
  <c r="H364" i="38"/>
  <c r="K364" i="38"/>
  <c r="L364" i="38" s="1"/>
  <c r="M364" i="38"/>
  <c r="U364" i="38" s="1"/>
  <c r="S364" i="38"/>
  <c r="F77" i="25"/>
  <c r="G77" i="25"/>
  <c r="H77" i="25"/>
  <c r="F20" i="25"/>
  <c r="F55" i="51"/>
  <c r="G55" i="51"/>
  <c r="H55" i="51"/>
  <c r="F7" i="51"/>
  <c r="P364" i="38" l="1"/>
  <c r="N364" i="38"/>
  <c r="O364" i="38" s="1"/>
  <c r="K80" i="53"/>
  <c r="F80" i="53"/>
  <c r="H76" i="25"/>
  <c r="G76" i="25"/>
  <c r="F76" i="25"/>
  <c r="M701" i="25"/>
  <c r="H701" i="25"/>
  <c r="C701" i="25"/>
  <c r="F677" i="25"/>
  <c r="F676" i="25"/>
  <c r="F675" i="25"/>
  <c r="F674" i="25"/>
  <c r="F673" i="25"/>
  <c r="F672" i="25"/>
  <c r="F671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F583" i="25"/>
  <c r="F582" i="25"/>
  <c r="F581" i="25"/>
  <c r="K580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02" i="25"/>
  <c r="H702" i="25"/>
  <c r="F702" i="25"/>
  <c r="C702" i="25"/>
  <c r="M702" i="25"/>
  <c r="Y364" i="38" l="1"/>
  <c r="N363" i="38"/>
  <c r="O363" i="38" s="1"/>
  <c r="F701" i="25"/>
  <c r="K701" i="25"/>
  <c r="P363" i="38"/>
  <c r="Y363" i="38" l="1"/>
  <c r="M438" i="25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35" i="58"/>
  <c r="H104" i="58"/>
  <c r="G104" i="58"/>
  <c r="F104" i="58"/>
  <c r="P34" i="58"/>
  <c r="H103" i="58"/>
  <c r="G103" i="58"/>
  <c r="F103" i="58"/>
  <c r="P33" i="58"/>
  <c r="H102" i="58"/>
  <c r="G102" i="58"/>
  <c r="F102" i="58"/>
  <c r="P32" i="58"/>
  <c r="H101" i="58"/>
  <c r="G101" i="58"/>
  <c r="F101" i="58"/>
  <c r="P31" i="58"/>
  <c r="P30" i="58"/>
  <c r="P29" i="58"/>
  <c r="P28" i="58"/>
  <c r="H97" i="58"/>
  <c r="G97" i="58"/>
  <c r="F97" i="58"/>
  <c r="P27" i="58"/>
  <c r="H96" i="58"/>
  <c r="G96" i="58"/>
  <c r="F96" i="58"/>
  <c r="P26" i="58"/>
  <c r="H95" i="58"/>
  <c r="G95" i="58"/>
  <c r="F95" i="58"/>
  <c r="P25" i="58"/>
  <c r="H94" i="58"/>
  <c r="G94" i="58"/>
  <c r="F94" i="58"/>
  <c r="P24" i="58"/>
  <c r="H93" i="58"/>
  <c r="G93" i="58"/>
  <c r="F93" i="58"/>
  <c r="P23" i="58"/>
  <c r="H92" i="58"/>
  <c r="G92" i="58"/>
  <c r="F92" i="58"/>
  <c r="P22" i="58"/>
  <c r="H91" i="58"/>
  <c r="G91" i="58"/>
  <c r="F91" i="58"/>
  <c r="P21" i="58"/>
  <c r="H90" i="58"/>
  <c r="G90" i="58"/>
  <c r="F90" i="58"/>
  <c r="P20" i="58"/>
  <c r="H89" i="58"/>
  <c r="G89" i="58"/>
  <c r="F89" i="58"/>
  <c r="P19" i="58"/>
  <c r="H88" i="58"/>
  <c r="G88" i="58"/>
  <c r="F88" i="58"/>
  <c r="P18" i="58"/>
  <c r="H87" i="58"/>
  <c r="G87" i="58"/>
  <c r="F87" i="58"/>
  <c r="P17" i="58"/>
  <c r="H86" i="58"/>
  <c r="G86" i="58"/>
  <c r="F86" i="58"/>
  <c r="P16" i="58"/>
  <c r="H85" i="58"/>
  <c r="G85" i="58"/>
  <c r="F85" i="58"/>
  <c r="P15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30" i="51"/>
  <c r="H230" i="51"/>
  <c r="C230" i="51"/>
  <c r="F224" i="51"/>
  <c r="F223" i="51"/>
  <c r="F222" i="51"/>
  <c r="K221" i="51"/>
  <c r="F221" i="51"/>
  <c r="K220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F205" i="51"/>
  <c r="K204" i="51"/>
  <c r="F204" i="51"/>
  <c r="H184" i="51"/>
  <c r="G184" i="51"/>
  <c r="F184" i="51"/>
  <c r="H183" i="51"/>
  <c r="G183" i="51"/>
  <c r="F183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P43" i="51"/>
  <c r="H125" i="51"/>
  <c r="G125" i="51"/>
  <c r="F125" i="51"/>
  <c r="P42" i="51"/>
  <c r="H124" i="51"/>
  <c r="G124" i="51"/>
  <c r="F124" i="51"/>
  <c r="P41" i="51"/>
  <c r="H123" i="51"/>
  <c r="G123" i="51"/>
  <c r="F123" i="51"/>
  <c r="P40" i="51"/>
  <c r="H122" i="51"/>
  <c r="G122" i="51"/>
  <c r="F122" i="51"/>
  <c r="P39" i="51"/>
  <c r="H121" i="51"/>
  <c r="G121" i="51"/>
  <c r="F121" i="51"/>
  <c r="P38" i="51"/>
  <c r="H120" i="51"/>
  <c r="G120" i="51"/>
  <c r="F120" i="51"/>
  <c r="P37" i="51"/>
  <c r="H119" i="51"/>
  <c r="G119" i="51"/>
  <c r="F119" i="51"/>
  <c r="P36" i="51"/>
  <c r="H118" i="51"/>
  <c r="G118" i="51"/>
  <c r="F118" i="51"/>
  <c r="P35" i="51"/>
  <c r="H117" i="51"/>
  <c r="G117" i="51"/>
  <c r="F117" i="51"/>
  <c r="P34" i="51"/>
  <c r="H116" i="51"/>
  <c r="G116" i="51"/>
  <c r="F116" i="51"/>
  <c r="P33" i="51"/>
  <c r="H115" i="51"/>
  <c r="G115" i="51"/>
  <c r="F115" i="51"/>
  <c r="P32" i="51"/>
  <c r="H114" i="51"/>
  <c r="G114" i="51"/>
  <c r="F114" i="51"/>
  <c r="P31" i="51"/>
  <c r="H113" i="51"/>
  <c r="G113" i="51"/>
  <c r="F113" i="51"/>
  <c r="P30" i="51"/>
  <c r="H112" i="51"/>
  <c r="G112" i="51"/>
  <c r="F112" i="51"/>
  <c r="P29" i="51"/>
  <c r="H111" i="51"/>
  <c r="G111" i="51"/>
  <c r="F111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H184" i="25"/>
  <c r="G184" i="25"/>
  <c r="H183" i="25"/>
  <c r="G183" i="25"/>
  <c r="H182" i="25"/>
  <c r="G182" i="25"/>
  <c r="H181" i="25"/>
  <c r="G181" i="25"/>
  <c r="H180" i="25"/>
  <c r="G180" i="25"/>
  <c r="H179" i="25"/>
  <c r="G179" i="25"/>
  <c r="H71" i="25"/>
  <c r="C7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Y336" i="38" s="1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Y328" i="38" s="1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Y286" i="38" s="1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Y278" i="38" s="1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Y272" i="38" s="1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Y270" i="38" s="1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Y264" i="38" s="1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Y262" i="38" s="1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Y226" i="38" s="1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Y218" i="38" s="1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Y202" i="38" s="1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Y194" i="38" s="1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Y192" i="38" s="1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Y186" i="38" s="1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Y184" i="38" s="1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Y178" i="38" s="1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Y176" i="38" s="1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Y170" i="38" s="1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Y168" i="38" s="1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Y162" i="38" s="1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Y160" i="38" s="1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Y154" i="38" s="1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Y152" i="38" s="1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Y147" i="38" s="1"/>
  <c r="D147" i="38"/>
  <c r="M146" i="38"/>
  <c r="N146" i="38" s="1"/>
  <c r="O146" i="38" s="1"/>
  <c r="K146" i="38"/>
  <c r="L146" i="38" s="1"/>
  <c r="H146" i="38"/>
  <c r="G146" i="38"/>
  <c r="E146" i="38"/>
  <c r="Y146" i="38" s="1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Y143" i="38" s="1"/>
  <c r="D143" i="38"/>
  <c r="M142" i="38"/>
  <c r="N142" i="38" s="1"/>
  <c r="O142" i="38" s="1"/>
  <c r="K142" i="38"/>
  <c r="L142" i="38" s="1"/>
  <c r="H142" i="38"/>
  <c r="G142" i="38"/>
  <c r="E142" i="38"/>
  <c r="Y142" i="38" s="1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Y139" i="38" s="1"/>
  <c r="D139" i="38"/>
  <c r="M138" i="38"/>
  <c r="N138" i="38" s="1"/>
  <c r="O138" i="38" s="1"/>
  <c r="K138" i="38"/>
  <c r="L138" i="38" s="1"/>
  <c r="H138" i="38"/>
  <c r="G138" i="38"/>
  <c r="E138" i="38"/>
  <c r="Y138" i="38" s="1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Y135" i="38" s="1"/>
  <c r="D135" i="38"/>
  <c r="M134" i="38"/>
  <c r="N134" i="38" s="1"/>
  <c r="O134" i="38" s="1"/>
  <c r="K134" i="38"/>
  <c r="L134" i="38" s="1"/>
  <c r="H134" i="38"/>
  <c r="G134" i="38"/>
  <c r="E134" i="38"/>
  <c r="Y134" i="38" s="1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Y131" i="38" s="1"/>
  <c r="D131" i="38"/>
  <c r="M130" i="38"/>
  <c r="N130" i="38" s="1"/>
  <c r="O130" i="38" s="1"/>
  <c r="K130" i="38"/>
  <c r="L130" i="38" s="1"/>
  <c r="H130" i="38"/>
  <c r="G130" i="38"/>
  <c r="E130" i="38"/>
  <c r="Y130" i="38" s="1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Y127" i="38" s="1"/>
  <c r="D127" i="38"/>
  <c r="M126" i="38"/>
  <c r="N126" i="38" s="1"/>
  <c r="O126" i="38" s="1"/>
  <c r="K126" i="38"/>
  <c r="L126" i="38" s="1"/>
  <c r="H126" i="38"/>
  <c r="G126" i="38"/>
  <c r="E126" i="38"/>
  <c r="Y126" i="38" s="1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Y123" i="38" s="1"/>
  <c r="D123" i="38"/>
  <c r="M122" i="38"/>
  <c r="N122" i="38" s="1"/>
  <c r="O122" i="38" s="1"/>
  <c r="K122" i="38"/>
  <c r="L122" i="38" s="1"/>
  <c r="H122" i="38"/>
  <c r="G122" i="38"/>
  <c r="E122" i="38"/>
  <c r="Y122" i="38" s="1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Y119" i="38" s="1"/>
  <c r="D119" i="38"/>
  <c r="M118" i="38"/>
  <c r="N118" i="38" s="1"/>
  <c r="O118" i="38" s="1"/>
  <c r="K118" i="38"/>
  <c r="L118" i="38" s="1"/>
  <c r="H118" i="38"/>
  <c r="G118" i="38"/>
  <c r="E118" i="38"/>
  <c r="Y118" i="38" s="1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Y115" i="38" s="1"/>
  <c r="D115" i="38"/>
  <c r="M114" i="38"/>
  <c r="N114" i="38" s="1"/>
  <c r="O114" i="38" s="1"/>
  <c r="K114" i="38"/>
  <c r="L114" i="38" s="1"/>
  <c r="H114" i="38"/>
  <c r="G114" i="38"/>
  <c r="E114" i="38"/>
  <c r="Y114" i="38" s="1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Y111" i="38" s="1"/>
  <c r="D111" i="38"/>
  <c r="M110" i="38"/>
  <c r="N110" i="38" s="1"/>
  <c r="O110" i="38" s="1"/>
  <c r="K110" i="38"/>
  <c r="L110" i="38" s="1"/>
  <c r="H110" i="38"/>
  <c r="G110" i="38"/>
  <c r="E110" i="38"/>
  <c r="Y110" i="38" s="1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Y107" i="38" s="1"/>
  <c r="D107" i="38"/>
  <c r="M106" i="38"/>
  <c r="N106" i="38" s="1"/>
  <c r="O106" i="38" s="1"/>
  <c r="K106" i="38"/>
  <c r="L106" i="38" s="1"/>
  <c r="H106" i="38"/>
  <c r="G106" i="38"/>
  <c r="E106" i="38"/>
  <c r="Y106" i="38" s="1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Y103" i="38" s="1"/>
  <c r="D103" i="38"/>
  <c r="M102" i="38"/>
  <c r="N102" i="38" s="1"/>
  <c r="O102" i="38" s="1"/>
  <c r="K102" i="38"/>
  <c r="L102" i="38" s="1"/>
  <c r="H102" i="38"/>
  <c r="G102" i="38"/>
  <c r="E102" i="38"/>
  <c r="Y102" i="38" s="1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Y99" i="38" s="1"/>
  <c r="D99" i="38"/>
  <c r="M98" i="38"/>
  <c r="N98" i="38" s="1"/>
  <c r="O98" i="38" s="1"/>
  <c r="K98" i="38"/>
  <c r="L98" i="38" s="1"/>
  <c r="H98" i="38"/>
  <c r="G98" i="38"/>
  <c r="E98" i="38"/>
  <c r="Y98" i="38" s="1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Y95" i="38" s="1"/>
  <c r="D95" i="38"/>
  <c r="M94" i="38"/>
  <c r="N94" i="38" s="1"/>
  <c r="O94" i="38" s="1"/>
  <c r="K94" i="38"/>
  <c r="L94" i="38" s="1"/>
  <c r="H94" i="38"/>
  <c r="G94" i="38"/>
  <c r="E94" i="38"/>
  <c r="Y94" i="38" s="1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Y91" i="38" s="1"/>
  <c r="D91" i="38"/>
  <c r="M90" i="38"/>
  <c r="N90" i="38" s="1"/>
  <c r="O90" i="38" s="1"/>
  <c r="K90" i="38"/>
  <c r="L90" i="38" s="1"/>
  <c r="H90" i="38"/>
  <c r="G90" i="38"/>
  <c r="E90" i="38"/>
  <c r="Y90" i="38" s="1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Y87" i="38" s="1"/>
  <c r="D87" i="38"/>
  <c r="M86" i="38"/>
  <c r="N86" i="38" s="1"/>
  <c r="O86" i="38" s="1"/>
  <c r="H86" i="38"/>
  <c r="G86" i="38"/>
  <c r="E86" i="38"/>
  <c r="Y86" i="38" s="1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Y84" i="38" s="1"/>
  <c r="D84" i="38"/>
  <c r="M83" i="38"/>
  <c r="N83" i="38" s="1"/>
  <c r="O83" i="38" s="1"/>
  <c r="K83" i="38"/>
  <c r="L83" i="38" s="1"/>
  <c r="H83" i="38"/>
  <c r="G83" i="38"/>
  <c r="E83" i="38"/>
  <c r="Y83" i="38" s="1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Y80" i="38" s="1"/>
  <c r="D80" i="38"/>
  <c r="M79" i="38"/>
  <c r="N79" i="38" s="1"/>
  <c r="O79" i="38" s="1"/>
  <c r="K79" i="38"/>
  <c r="L79" i="38" s="1"/>
  <c r="H79" i="38"/>
  <c r="G79" i="38"/>
  <c r="E79" i="38"/>
  <c r="Y79" i="38" s="1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Y76" i="38" s="1"/>
  <c r="D76" i="38"/>
  <c r="M75" i="38"/>
  <c r="N75" i="38" s="1"/>
  <c r="O75" i="38" s="1"/>
  <c r="K75" i="38"/>
  <c r="L75" i="38" s="1"/>
  <c r="H75" i="38"/>
  <c r="G75" i="38"/>
  <c r="E75" i="38"/>
  <c r="Y75" i="38" s="1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Y72" i="38" s="1"/>
  <c r="D72" i="38"/>
  <c r="M71" i="38"/>
  <c r="N71" i="38" s="1"/>
  <c r="O71" i="38" s="1"/>
  <c r="K71" i="38"/>
  <c r="L71" i="38" s="1"/>
  <c r="H71" i="38"/>
  <c r="G71" i="38"/>
  <c r="E71" i="38"/>
  <c r="Y71" i="38" s="1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Y68" i="38" s="1"/>
  <c r="D68" i="38"/>
  <c r="M67" i="38"/>
  <c r="N67" i="38" s="1"/>
  <c r="O67" i="38" s="1"/>
  <c r="K67" i="38"/>
  <c r="L67" i="38" s="1"/>
  <c r="H67" i="38"/>
  <c r="G67" i="38"/>
  <c r="E67" i="38"/>
  <c r="Y67" i="38" s="1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Y64" i="38" s="1"/>
  <c r="D64" i="38"/>
  <c r="M63" i="38"/>
  <c r="N63" i="38" s="1"/>
  <c r="O63" i="38" s="1"/>
  <c r="K63" i="38"/>
  <c r="L63" i="38" s="1"/>
  <c r="H63" i="38"/>
  <c r="G63" i="38"/>
  <c r="E63" i="38"/>
  <c r="Y63" i="38" s="1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Y60" i="38" s="1"/>
  <c r="D60" i="38"/>
  <c r="M59" i="38"/>
  <c r="N59" i="38" s="1"/>
  <c r="O59" i="38" s="1"/>
  <c r="K59" i="38"/>
  <c r="L59" i="38" s="1"/>
  <c r="H59" i="38"/>
  <c r="G59" i="38"/>
  <c r="E59" i="38"/>
  <c r="Y59" i="38" s="1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Y56" i="38" s="1"/>
  <c r="D56" i="38"/>
  <c r="M55" i="38"/>
  <c r="N55" i="38" s="1"/>
  <c r="O55" i="38" s="1"/>
  <c r="K55" i="38"/>
  <c r="L55" i="38" s="1"/>
  <c r="H55" i="38"/>
  <c r="G55" i="38"/>
  <c r="E55" i="38"/>
  <c r="Y55" i="38" s="1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Y52" i="38" s="1"/>
  <c r="D52" i="38"/>
  <c r="M51" i="38"/>
  <c r="N51" i="38" s="1"/>
  <c r="O51" i="38" s="1"/>
  <c r="K51" i="38"/>
  <c r="L51" i="38" s="1"/>
  <c r="H51" i="38"/>
  <c r="G51" i="38"/>
  <c r="E51" i="38"/>
  <c r="Y51" i="38" s="1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Y48" i="38" s="1"/>
  <c r="D48" i="38"/>
  <c r="M47" i="38"/>
  <c r="N47" i="38" s="1"/>
  <c r="O47" i="38" s="1"/>
  <c r="K47" i="38"/>
  <c r="L47" i="38" s="1"/>
  <c r="H47" i="38"/>
  <c r="G47" i="38"/>
  <c r="E47" i="38"/>
  <c r="Y47" i="38" s="1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Y44" i="38" s="1"/>
  <c r="D44" i="38"/>
  <c r="M43" i="38"/>
  <c r="N43" i="38" s="1"/>
  <c r="O43" i="38" s="1"/>
  <c r="K43" i="38"/>
  <c r="L43" i="38" s="1"/>
  <c r="H43" i="38"/>
  <c r="G43" i="38"/>
  <c r="E43" i="38"/>
  <c r="Y43" i="38" s="1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Y40" i="38" s="1"/>
  <c r="D40" i="38"/>
  <c r="M39" i="38"/>
  <c r="N39" i="38" s="1"/>
  <c r="O39" i="38" s="1"/>
  <c r="K39" i="38"/>
  <c r="L39" i="38" s="1"/>
  <c r="H39" i="38"/>
  <c r="G39" i="38"/>
  <c r="E39" i="38"/>
  <c r="Y39" i="38" s="1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Y36" i="38" s="1"/>
  <c r="D36" i="38"/>
  <c r="M35" i="38"/>
  <c r="N35" i="38" s="1"/>
  <c r="O35" i="38" s="1"/>
  <c r="K35" i="38"/>
  <c r="L35" i="38" s="1"/>
  <c r="H35" i="38"/>
  <c r="G35" i="38"/>
  <c r="E35" i="38"/>
  <c r="Y35" i="38" s="1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Y32" i="38" s="1"/>
  <c r="D32" i="38"/>
  <c r="M31" i="38"/>
  <c r="N31" i="38" s="1"/>
  <c r="O31" i="38" s="1"/>
  <c r="K31" i="38"/>
  <c r="L31" i="38" s="1"/>
  <c r="H31" i="38"/>
  <c r="G31" i="38"/>
  <c r="E31" i="38"/>
  <c r="Y31" i="38" s="1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Y28" i="38" s="1"/>
  <c r="D28" i="38"/>
  <c r="M27" i="38"/>
  <c r="N27" i="38" s="1"/>
  <c r="O27" i="38" s="1"/>
  <c r="K27" i="38"/>
  <c r="L27" i="38" s="1"/>
  <c r="H27" i="38"/>
  <c r="G27" i="38"/>
  <c r="E27" i="38"/>
  <c r="Y27" i="38" s="1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0" i="40"/>
  <c r="H19" i="45"/>
  <c r="F65" i="71"/>
  <c r="K119" i="7"/>
  <c r="M119" i="7"/>
  <c r="K19" i="61"/>
  <c r="H19" i="3"/>
  <c r="K19" i="63"/>
  <c r="C19" i="34"/>
  <c r="M146" i="58"/>
  <c r="H19" i="75"/>
  <c r="F19" i="61"/>
  <c r="K19" i="52"/>
  <c r="M63" i="66"/>
  <c r="F19" i="45"/>
  <c r="M213" i="57"/>
  <c r="H19" i="41"/>
  <c r="F156" i="49"/>
  <c r="F19" i="75"/>
  <c r="K156" i="49"/>
  <c r="H55" i="50"/>
  <c r="H65" i="63"/>
  <c r="C19" i="75"/>
  <c r="K42" i="51"/>
  <c r="H63" i="66"/>
  <c r="F63" i="66"/>
  <c r="H19" i="55"/>
  <c r="H19" i="60"/>
  <c r="M72" i="59"/>
  <c r="K65" i="63"/>
  <c r="H19" i="66"/>
  <c r="H19" i="52"/>
  <c r="F67" i="60"/>
  <c r="M19" i="62"/>
  <c r="H19" i="63"/>
  <c r="C55" i="50"/>
  <c r="M19" i="54"/>
  <c r="H92" i="45"/>
  <c r="K65" i="71"/>
  <c r="C90" i="72"/>
  <c r="F19" i="54"/>
  <c r="M19" i="59"/>
  <c r="M23" i="17"/>
  <c r="C19" i="66"/>
  <c r="M67" i="60"/>
  <c r="K19" i="53"/>
  <c r="M75" i="41"/>
  <c r="F81" i="61"/>
  <c r="F213" i="57"/>
  <c r="M30" i="40"/>
  <c r="F72" i="59"/>
  <c r="M100" i="34"/>
  <c r="M19" i="50"/>
  <c r="F30" i="40"/>
  <c r="C19" i="71"/>
  <c r="H19" i="54"/>
  <c r="M451" i="17"/>
  <c r="C19" i="70"/>
  <c r="K19" i="69"/>
  <c r="M94" i="52"/>
  <c r="H451" i="17"/>
  <c r="C19" i="60"/>
  <c r="M19" i="53"/>
  <c r="K19" i="3"/>
  <c r="C75" i="41"/>
  <c r="F94" i="52"/>
  <c r="F85" i="64"/>
  <c r="H19" i="71"/>
  <c r="M55" i="50"/>
  <c r="F19" i="60"/>
  <c r="C65" i="63"/>
  <c r="H19" i="72"/>
  <c r="K67" i="60"/>
  <c r="H146" i="58"/>
  <c r="F451" i="17"/>
  <c r="K19" i="50"/>
  <c r="H19" i="62"/>
  <c r="F19" i="73"/>
  <c r="F75" i="41"/>
  <c r="K81" i="61"/>
  <c r="F19" i="53"/>
  <c r="H81" i="61"/>
  <c r="M19" i="71"/>
  <c r="M23" i="57"/>
  <c r="H19" i="70"/>
  <c r="C19" i="41"/>
  <c r="K19" i="60"/>
  <c r="M92" i="45"/>
  <c r="F146" i="58"/>
  <c r="C25" i="31"/>
  <c r="F77" i="70"/>
  <c r="K72" i="59"/>
  <c r="K213" i="57"/>
  <c r="K23" i="17"/>
  <c r="C19" i="73"/>
  <c r="M23" i="58"/>
  <c r="C19" i="59"/>
  <c r="K451" i="17"/>
  <c r="K19" i="62"/>
  <c r="H65" i="71"/>
  <c r="K90" i="72"/>
  <c r="C19" i="68"/>
  <c r="M19" i="61"/>
  <c r="H19" i="73"/>
  <c r="C19" i="45"/>
  <c r="C451" i="17"/>
  <c r="M19" i="72"/>
  <c r="F19" i="66"/>
  <c r="H100" i="34"/>
  <c r="K19" i="45"/>
  <c r="C19" i="62"/>
  <c r="F25" i="31"/>
  <c r="C19" i="50"/>
  <c r="H25" i="31"/>
  <c r="C86" i="53"/>
  <c r="M19" i="66"/>
  <c r="K19" i="71"/>
  <c r="H213" i="57"/>
  <c r="H30" i="49"/>
  <c r="M19" i="69"/>
  <c r="C19" i="52"/>
  <c r="F30" i="49"/>
  <c r="K146" i="58"/>
  <c r="K94" i="52"/>
  <c r="F86" i="53"/>
  <c r="C19" i="64"/>
  <c r="F19" i="55"/>
  <c r="M19" i="55"/>
  <c r="H19" i="61"/>
  <c r="C92" i="45"/>
  <c r="H51" i="54"/>
  <c r="M19" i="73"/>
  <c r="F19" i="71"/>
  <c r="F19" i="72"/>
  <c r="M86" i="53"/>
  <c r="H67" i="60"/>
  <c r="M19" i="60"/>
  <c r="M19" i="3"/>
  <c r="C146" i="58"/>
  <c r="K19" i="72"/>
  <c r="K19" i="41"/>
  <c r="F92" i="45"/>
  <c r="F19" i="64"/>
  <c r="M90" i="72"/>
  <c r="H19" i="50"/>
  <c r="M19" i="52"/>
  <c r="M19" i="34"/>
  <c r="C156" i="49"/>
  <c r="C19" i="53"/>
  <c r="H94" i="52"/>
  <c r="M156" i="49"/>
  <c r="M19" i="41"/>
  <c r="H72" i="59"/>
  <c r="M65" i="63"/>
  <c r="C19" i="54"/>
  <c r="F90" i="72"/>
  <c r="C100" i="34"/>
  <c r="M19" i="68"/>
  <c r="F19" i="52"/>
  <c r="K51" i="54"/>
  <c r="C213" i="57"/>
  <c r="F51" i="54"/>
  <c r="C19" i="61"/>
  <c r="H19" i="68"/>
  <c r="F19" i="41"/>
  <c r="F19" i="34"/>
  <c r="M42" i="51"/>
  <c r="F119" i="7"/>
  <c r="K19" i="66"/>
  <c r="M19" i="70"/>
  <c r="H77" i="70"/>
  <c r="K18" i="74"/>
  <c r="M19" i="75"/>
  <c r="K63" i="66"/>
  <c r="K19" i="75"/>
  <c r="F100" i="34"/>
  <c r="F23" i="17"/>
  <c r="F19" i="3"/>
  <c r="K75" i="41"/>
  <c r="C19" i="72"/>
  <c r="K19" i="55"/>
  <c r="C51" i="54"/>
  <c r="C94" i="52"/>
  <c r="C19" i="3"/>
  <c r="M19" i="45"/>
  <c r="K55" i="50"/>
  <c r="C63" i="66"/>
  <c r="F19" i="63"/>
  <c r="C23" i="17"/>
  <c r="H156" i="49"/>
  <c r="M81" i="61"/>
  <c r="K92" i="45"/>
  <c r="C77" i="70"/>
  <c r="K30" i="49"/>
  <c r="H19" i="34"/>
  <c r="H86" i="53"/>
  <c r="M25" i="31"/>
  <c r="F19" i="68"/>
  <c r="H90" i="72"/>
  <c r="K19" i="73"/>
  <c r="C65" i="71"/>
  <c r="H19" i="59"/>
  <c r="K19" i="68"/>
  <c r="H75" i="41"/>
  <c r="F19" i="70"/>
  <c r="F19" i="50"/>
  <c r="F19" i="59"/>
  <c r="K25" i="31"/>
  <c r="F55" i="50"/>
  <c r="C30" i="49"/>
  <c r="M77" i="70"/>
  <c r="C30" i="40"/>
  <c r="K19" i="34"/>
  <c r="C67" i="60"/>
  <c r="H19" i="69"/>
  <c r="K30" i="40"/>
  <c r="C72" i="59"/>
  <c r="F65" i="63"/>
  <c r="C85" i="64"/>
  <c r="K77" i="70"/>
  <c r="H119" i="7"/>
  <c r="F19" i="69"/>
  <c r="C81" i="61"/>
  <c r="F19" i="62"/>
  <c r="K19" i="54"/>
  <c r="C19" i="69"/>
  <c r="M65" i="71"/>
  <c r="H19" i="53"/>
  <c r="K100" i="34"/>
  <c r="C19" i="63"/>
  <c r="C119" i="7"/>
  <c r="H23" i="17"/>
  <c r="M30" i="49"/>
  <c r="K86" i="53"/>
  <c r="C19" i="55"/>
  <c r="M19" i="63"/>
  <c r="K19" i="70"/>
  <c r="K19" i="59"/>
  <c r="M51" i="54"/>
  <c r="F18" i="74"/>
  <c r="F23" i="57"/>
  <c r="C23" i="57"/>
  <c r="F42" i="51"/>
  <c r="K23" i="58"/>
  <c r="H23" i="58"/>
  <c r="K23" i="57"/>
  <c r="F19" i="43"/>
  <c r="F23" i="58"/>
  <c r="C23" i="58"/>
  <c r="H72" i="25"/>
  <c r="F72" i="25"/>
  <c r="C72" i="25"/>
  <c r="Y185" i="38" l="1"/>
  <c r="Y201" i="38"/>
  <c r="Y225" i="38"/>
  <c r="Y252" i="38"/>
  <c r="Y161" i="38"/>
  <c r="Y169" i="38"/>
  <c r="Y151" i="38"/>
  <c r="Y159" i="38"/>
  <c r="Y167" i="38"/>
  <c r="Y175" i="38"/>
  <c r="Y183" i="38"/>
  <c r="Y191" i="38"/>
  <c r="Y223" i="38"/>
  <c r="Y238" i="38"/>
  <c r="Y256" i="38"/>
  <c r="Y285" i="38"/>
  <c r="Y153" i="38"/>
  <c r="Y177" i="38"/>
  <c r="Y193" i="38"/>
  <c r="Y303" i="38"/>
  <c r="Y208" i="38"/>
  <c r="Y318" i="38"/>
  <c r="Y334" i="38"/>
  <c r="V586" i="38"/>
  <c r="V584" i="38"/>
  <c r="V585" i="38"/>
  <c r="Y263" i="38"/>
  <c r="Y311" i="38"/>
  <c r="Y26" i="38"/>
  <c r="Y30" i="38"/>
  <c r="Y34" i="38"/>
  <c r="Y38" i="38"/>
  <c r="Y42" i="38"/>
  <c r="Y46" i="38"/>
  <c r="Y50" i="38"/>
  <c r="Y54" i="38"/>
  <c r="Y58" i="38"/>
  <c r="Y62" i="38"/>
  <c r="Y66" i="38"/>
  <c r="Y70" i="38"/>
  <c r="Y74" i="38"/>
  <c r="Y78" i="38"/>
  <c r="Y82" i="38"/>
  <c r="Y89" i="38"/>
  <c r="Y93" i="38"/>
  <c r="Y97" i="38"/>
  <c r="Y101" i="38"/>
  <c r="Y105" i="38"/>
  <c r="Y109" i="38"/>
  <c r="Y113" i="38"/>
  <c r="Y117" i="38"/>
  <c r="Y121" i="38"/>
  <c r="Y125" i="38"/>
  <c r="Y129" i="38"/>
  <c r="Y133" i="38"/>
  <c r="Y137" i="38"/>
  <c r="Y141" i="38"/>
  <c r="Y145" i="38"/>
  <c r="Y150" i="38"/>
  <c r="Y158" i="38"/>
  <c r="Y166" i="38"/>
  <c r="Y174" i="38"/>
  <c r="Y182" i="38"/>
  <c r="Y190" i="38"/>
  <c r="Y198" i="38"/>
  <c r="Y284" i="38"/>
  <c r="Y308" i="38"/>
  <c r="Y348" i="38"/>
  <c r="Y356" i="38"/>
  <c r="Y309" i="38"/>
  <c r="Y149" i="38"/>
  <c r="Y157" i="38"/>
  <c r="Y165" i="38"/>
  <c r="Y173" i="38"/>
  <c r="Y181" i="38"/>
  <c r="Y189" i="38"/>
  <c r="Y197" i="38"/>
  <c r="Y205" i="38"/>
  <c r="Y221" i="38"/>
  <c r="Y254" i="38"/>
  <c r="Y299" i="38"/>
  <c r="Y307" i="38"/>
  <c r="Y315" i="38"/>
  <c r="Y347" i="38"/>
  <c r="Y29" i="38"/>
  <c r="Y33" i="38"/>
  <c r="Y37" i="38"/>
  <c r="Y41" i="38"/>
  <c r="Y45" i="38"/>
  <c r="Y49" i="38"/>
  <c r="Y53" i="38"/>
  <c r="Y57" i="38"/>
  <c r="Y61" i="38"/>
  <c r="Y65" i="38"/>
  <c r="Y69" i="38"/>
  <c r="Y73" i="38"/>
  <c r="Y77" i="38"/>
  <c r="Y81" i="38"/>
  <c r="Y85" i="38"/>
  <c r="Y88" i="38"/>
  <c r="Y92" i="38"/>
  <c r="Y96" i="38"/>
  <c r="Y100" i="38"/>
  <c r="Y104" i="38"/>
  <c r="Y108" i="38"/>
  <c r="Y112" i="38"/>
  <c r="Y116" i="38"/>
  <c r="Y120" i="38"/>
  <c r="Y124" i="38"/>
  <c r="Y128" i="38"/>
  <c r="Y132" i="38"/>
  <c r="Y136" i="38"/>
  <c r="Y140" i="38"/>
  <c r="Y144" i="38"/>
  <c r="Y148" i="38"/>
  <c r="Y156" i="38"/>
  <c r="Y164" i="38"/>
  <c r="Y172" i="38"/>
  <c r="Y180" i="38"/>
  <c r="Y188" i="38"/>
  <c r="Y196" i="38"/>
  <c r="Y204" i="38"/>
  <c r="Y212" i="38"/>
  <c r="Y248" i="38"/>
  <c r="Y290" i="38"/>
  <c r="Y298" i="38"/>
  <c r="Y314" i="38"/>
  <c r="Y322" i="38"/>
  <c r="Y346" i="38"/>
  <c r="Y155" i="38"/>
  <c r="Y163" i="38"/>
  <c r="Y171" i="38"/>
  <c r="Y179" i="38"/>
  <c r="Y187" i="38"/>
  <c r="Y195" i="38"/>
  <c r="Y265" i="38"/>
  <c r="Y289" i="38"/>
  <c r="Y297" i="38"/>
  <c r="Y305" i="38"/>
  <c r="Y313" i="38"/>
  <c r="Y321" i="38"/>
  <c r="Y337" i="38"/>
  <c r="Y345" i="38"/>
  <c r="Y362" i="38"/>
  <c r="V583" i="38"/>
  <c r="V582" i="38"/>
  <c r="V581" i="38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Z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71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30" i="51"/>
  <c r="K230" i="51"/>
  <c r="Q2" i="44"/>
  <c r="Q3" i="44" s="1"/>
  <c r="Q6" i="44" s="1"/>
  <c r="Q2" i="32"/>
  <c r="Q8" i="32" s="1"/>
  <c r="F44" i="26"/>
  <c r="K44" i="26"/>
  <c r="Q2" i="71"/>
  <c r="M104" i="49"/>
  <c r="Q2" i="25"/>
  <c r="Y281" i="38" l="1"/>
  <c r="Y273" i="38"/>
  <c r="Y259" i="38"/>
  <c r="Y283" i="38"/>
  <c r="Y335" i="38"/>
  <c r="W584" i="38"/>
  <c r="X584" i="38" s="1"/>
  <c r="Y219" i="38"/>
  <c r="Y251" i="38"/>
  <c r="Y241" i="38"/>
  <c r="Y215" i="38"/>
  <c r="Y237" i="38"/>
  <c r="Y349" i="38"/>
  <c r="Y352" i="38"/>
  <c r="Y269" i="38"/>
  <c r="Y329" i="38"/>
  <c r="Y211" i="38"/>
  <c r="Y361" i="38"/>
  <c r="Y250" i="38"/>
  <c r="Y199" i="38"/>
  <c r="Y312" i="38"/>
  <c r="Y213" i="38"/>
  <c r="Y222" i="38"/>
  <c r="Y343" i="38"/>
  <c r="Y246" i="38"/>
  <c r="Y353" i="38"/>
  <c r="Y330" i="38"/>
  <c r="Y229" i="38"/>
  <c r="Y344" i="38"/>
  <c r="Y203" i="38"/>
  <c r="Y355" i="38"/>
  <c r="Y228" i="38"/>
  <c r="Y231" i="38"/>
  <c r="Y234" i="38"/>
  <c r="Y306" i="38"/>
  <c r="W585" i="38"/>
  <c r="X585" i="38" s="1"/>
  <c r="Y294" i="38"/>
  <c r="Y327" i="38"/>
  <c r="Y210" i="38"/>
  <c r="Y310" i="38"/>
  <c r="Y319" i="38"/>
  <c r="Y253" i="38"/>
  <c r="Y207" i="38"/>
  <c r="Y339" i="38"/>
  <c r="Y275" i="38"/>
  <c r="Y340" i="38"/>
  <c r="Y276" i="38"/>
  <c r="Y214" i="38"/>
  <c r="Y301" i="38"/>
  <c r="Y224" i="38"/>
  <c r="Y287" i="38"/>
  <c r="Y304" i="38"/>
  <c r="Y302" i="38"/>
  <c r="Y295" i="38"/>
  <c r="Y266" i="38"/>
  <c r="Y342" i="38"/>
  <c r="Y300" i="38"/>
  <c r="Y350" i="38"/>
  <c r="W583" i="38"/>
  <c r="X583" i="38" s="1"/>
  <c r="Y291" i="38"/>
  <c r="Y247" i="38"/>
  <c r="Y354" i="38"/>
  <c r="Y220" i="38"/>
  <c r="Y341" i="38"/>
  <c r="Y331" i="38"/>
  <c r="Y267" i="38"/>
  <c r="W586" i="38"/>
  <c r="X586" i="38" s="1"/>
  <c r="Y332" i="38"/>
  <c r="Y268" i="38"/>
  <c r="Y206" i="38"/>
  <c r="Y277" i="38"/>
  <c r="Y216" i="38"/>
  <c r="Y235" i="38"/>
  <c r="Y245" i="38"/>
  <c r="Y296" i="38"/>
  <c r="Y257" i="38"/>
  <c r="Y271" i="38"/>
  <c r="Y357" i="38"/>
  <c r="Y242" i="38"/>
  <c r="Y292" i="38"/>
  <c r="Y326" i="38"/>
  <c r="Y279" i="38"/>
  <c r="Y359" i="38"/>
  <c r="Y320" i="38"/>
  <c r="Y232" i="38"/>
  <c r="Y282" i="38"/>
  <c r="Y317" i="38"/>
  <c r="Y323" i="38"/>
  <c r="Y333" i="38"/>
  <c r="Y324" i="38"/>
  <c r="Y260" i="38"/>
  <c r="Y261" i="38"/>
  <c r="Y200" i="38"/>
  <c r="Y217" i="38"/>
  <c r="Y230" i="38"/>
  <c r="Y288" i="38"/>
  <c r="Y244" i="38"/>
  <c r="Y338" i="38"/>
  <c r="Y274" i="38"/>
  <c r="Y293" i="38"/>
  <c r="Y249" i="38"/>
  <c r="Y325" i="38"/>
  <c r="Y316" i="38"/>
  <c r="Y255" i="38"/>
  <c r="Y243" i="38"/>
  <c r="Y351" i="38"/>
  <c r="Y360" i="38"/>
  <c r="Y280" i="38"/>
  <c r="Y358" i="38"/>
  <c r="Y239" i="38"/>
  <c r="Y209" i="38"/>
  <c r="W582" i="38"/>
  <c r="X582" i="38" s="1"/>
  <c r="W575" i="38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6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02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O258" i="38" l="1"/>
  <c r="Y258" i="38"/>
  <c r="Q584" i="38"/>
  <c r="Q585" i="38"/>
  <c r="O233" i="38"/>
  <c r="Y233" i="38"/>
  <c r="O236" i="38"/>
  <c r="X236" i="38" s="1"/>
  <c r="Y236" i="38"/>
  <c r="O227" i="38"/>
  <c r="Y227" i="38"/>
  <c r="O240" i="38"/>
  <c r="X240" i="38" s="1"/>
  <c r="Y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8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9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0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1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2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3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4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5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6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7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8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9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0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1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2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3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4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5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6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7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8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9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0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1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2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3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6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7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58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59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0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4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5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6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7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68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69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0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1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4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5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7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78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79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0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1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2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3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4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5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<sst xmlns="http://schemas.openxmlformats.org/spreadsheetml/2006/main" count="6999" uniqueCount="999">
  <si>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</si>
  <si>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</si>
  <si>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</si>
  <si>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</si>
  <si>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</si>
  <si>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</si>
  <si>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</si>
  <si>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</si>
  <si>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</si>
  <si>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</si>
  <si>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</si>
  <si>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</si>
  <si>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</si>
  <si>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</si>
  <si>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</si>
  <si>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</si>
  <si>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</si>
  <si>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</si>
  <si>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</si>
  <si>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</si>
  <si>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</si>
  <si>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</si>
  <si>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</si>
  <si>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</si>
  <si>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</si>
  <si>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</si>
  <si>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</si>
  <si>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</si>
  <si>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</si>
  <si>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</si>
  <si>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</si>
  <si>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</si>
  <si>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</si>
  <si>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</si>
  <si>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</si>
  <si>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</si>
  <si>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</si>
  <si>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</si>
  <si>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</si>
  <si>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</si>
  <si>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</si>
  <si>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</si>
  <si>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</si>
  <si>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</si>
  <si>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</si>
  <si>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</si>
  <si>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</si>
  <si>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</si>
  <si>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</si>
  <si>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</si>
  <si>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</si>
  <si>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</si>
  <si>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</si>
  <si>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</si>
  <si>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</si>
  <si>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</si>
  <si>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</si>
  <si>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</si>
  <si>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</si>
  <si>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</si>
  <si>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</si>
  <si>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</si>
  <si>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</si>
  <si>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</si>
  <si>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</si>
  <si>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</si>
  <si>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</si>
  <si>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</si>
  <si>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</si>
  <si>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</si>
  <si>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</si>
  <si>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</si>
  <si>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</si>
  <si>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</si>
  <si>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</si>
  <si>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</si>
  <si>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</si>
  <si>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</si>
  <si>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</si>
  <si>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</si>
  <si>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</si>
  <si>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</si>
  <si>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</si>
  <si>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</si>
  <si>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</si>
  <si>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</si>
  <si>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</si>
  <si>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</si>
  <si>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</si>
  <si>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</si>
  <si>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</si>
  <si>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</si>
  <si>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</si>
  <si>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</si>
  <si>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</si>
  <si>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</si>
  <si>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</si>
  <si>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</si>
  <si>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</si>
  <si>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</si>
  <si>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</si>
  <si>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</si>
  <si>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</si>
  <si>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</si>
  <si>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</si>
  <si>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</si>
  <si>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</si>
  <si>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</si>
  <si>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</si>
  <si>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</si>
  <si>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</si>
  <si>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</si>
  <si>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</si>
  <si>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</si>
  <si>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</si>
  <si>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</si>
  <si>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</si>
  <si>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</si>
  <si>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</si>
  <si>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</si>
  <si>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</si>
  <si>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</si>
  <si>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</si>
  <si>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</si>
  <si>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</si>
  <si>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</si>
  <si>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</si>
  <si>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</si>
  <si>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</si>
  <si>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</si>
  <si>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</si>
  <si>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</si>
  <si>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</si>
  <si>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</si>
  <si>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</si>
  <si>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</si>
  <si>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</si>
  <si>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</si>
  <si>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</si>
  <si>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</si>
  <si>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</si>
  <si>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</si>
  <si>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</si>
  <si>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</si>
  <si>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</si>
  <si>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</si>
  <si>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</si>
  <si>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</si>
  <si>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</si>
  <si>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</si>
  <si>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</si>
  <si>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</si>
  <si>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</si>
  <si>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</si>
  <si>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</si>
  <si>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</si>
  <si>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</si>
  <si>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</si>
  <si>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</si>
  <si>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</si>
  <si>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</si>
  <si>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</si>
  <si>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</si>
  <si>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</si>
  <si>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</si>
  <si>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</si>
  <si>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</si>
  <si>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</si>
  <si>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</si>
  <si>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</si>
  <si>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</si>
  <si>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</si>
  <si>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</si>
  <si>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</si>
  <si>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</si>
  <si>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</si>
  <si>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</si>
  <si>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</si>
  <si>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</si>
  <si>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</si>
  <si>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</si>
  <si>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</si>
  <si>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</si>
  <si>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</si>
  <si>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</si>
  <si>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</si>
  <si>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</si>
  <si>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</si>
  <si>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</si>
  <si>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</si>
  <si>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</si>
  <si>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</si>
  <si>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</si>
  <si>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</si>
  <si>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</si>
  <si>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</si>
  <si>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</si>
  <si>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</si>
  <si>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</si>
  <si>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</si>
  <si>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</si>
  <si>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</si>
  <si>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</si>
  <si>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</si>
  <si>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</si>
  <si>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</si>
  <si>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</si>
  <si>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</si>
  <si>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</si>
  <si>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</si>
  <si>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</si>
  <si>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</si>
  <si>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</si>
  <si>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</si>
  <si>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</si>
  <si>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</si>
  <si>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</si>
  <si>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</si>
  <si>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</si>
  <si>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</si>
  <si>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</si>
  <si>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</si>
  <si>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</si>
  <si>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</si>
  <si>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</si>
  <si>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</si>
  <si>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</si>
  <si>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</si>
  <si>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</si>
  <si>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</si>
  <si>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</si>
  <si>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</si>
  <si>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</si>
  <si>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</si>
  <si>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</si>
  <si>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</si>
  <si>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</si>
  <si>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</si>
  <si>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</si>
  <si>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</si>
  <si>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</si>
  <si>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</si>
  <si>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</si>
  <si>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</si>
  <si>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</si>
  <si>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</si>
  <si>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</si>
  <si>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</si>
  <si>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</si>
  <si>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</si>
  <si>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</si>
  <si>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</si>
  <si>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</si>
  <si>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</si>
  <si>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</si>
  <si>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</si>
  <si>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</si>
  <si>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</si>
  <si>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</si>
  <si>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</si>
  <si>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</si>
  <si>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</si>
  <si>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</si>
  <si>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</si>
  <si>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</si>
  <si>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</si>
  <si>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</si>
  <si>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</si>
  <si>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</si>
  <si>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</si>
  <si>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</si>
  <si>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</si>
  <si>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</si>
  <si>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</si>
  <si>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</si>
  <si>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</si>
  <si>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</si>
  <si>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</si>
  <si>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</si>
  <si>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</si>
  <si>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</si>
  <si>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</si>
  <si>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</si>
  <si>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</si>
  <si>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</si>
  <si>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</si>
  <si>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</si>
  <si>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</si>
  <si>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</si>
  <si>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</si>
  <si>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</si>
  <si>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</si>
  <si>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</si>
  <si>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</si>
  <si>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</si>
  <si>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</si>
  <si>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</si>
  <si>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</si>
  <si>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</si>
  <si>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</si>
  <si>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</si>
  <si>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</si>
  <si>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</si>
  <si>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</si>
  <si>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</si>
  <si>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</si>
  <si>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</si>
  <si>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</si>
  <si>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</si>
  <si>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</si>
  <si>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</si>
  <si>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</si>
  <si>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</si>
  <si>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</si>
  <si>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</si>
  <si>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</si>
  <si>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</si>
  <si>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</si>
  <si>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</si>
  <si>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</si>
  <si>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</si>
  <si>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</si>
  <si>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</si>
  <si>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</si>
  <si>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</si>
  <si>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</si>
  <si>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</si>
  <si>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</si>
  <si>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</si>
  <si>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</si>
  <si>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</si>
  <si>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</si>
  <si>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</si>
  <si>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</si>
  <si>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</si>
  <si>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</si>
  <si>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</si>
  <si>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</si>
  <si>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</si>
  <si>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</si>
  <si>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</si>
  <si>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</si>
  <si>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</si>
  <si>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</si>
  <si>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</si>
  <si>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</si>
  <si>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</si>
  <si>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</si>
  <si>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</si>
  <si>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</si>
  <si>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</si>
  <si>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</si>
  <si>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</si>
  <si>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</si>
  <si>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</si>
  <si>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</si>
  <si>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</si>
  <si>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</si>
  <si>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</si>
  <si>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</si>
  <si>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</si>
  <si>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</si>
  <si>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</si>
  <si>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</si>
  <si>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</si>
  <si>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</si>
  <si>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</si>
  <si>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</si>
  <si>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</si>
  <si>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</si>
  <si>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</si>
  <si>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</si>
  <si>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</si>
  <si>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</si>
  <si>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</si>
  <si>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</si>
  <si>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</si>
  <si>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</si>
  <si>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</si>
  <si>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</si>
  <si>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</si>
  <si>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</si>
  <si>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</si>
  <si>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</si>
  <si>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</si>
  <si>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</si>
  <si>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</si>
  <si>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</si>
  <si>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</si>
  <si>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</si>
  <si>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</si>
  <si>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</si>
  <si>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</si>
  <si>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</si>
  <si>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</si>
  <si>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</si>
  <si>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</si>
  <si>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</si>
  <si>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</si>
  <si>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</si>
  <si>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</si>
  <si>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</si>
  <si>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</si>
  <si>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</si>
  <si>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</si>
  <si>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</si>
  <si>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</si>
  <si>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</si>
  <si>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</si>
  <si>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</si>
  <si>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</si>
  <si>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</si>
  <si>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</si>
  <si>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</si>
  <si>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</si>
  <si>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</si>
  <si>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</si>
  <si>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</si>
  <si>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</si>
  <si>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</si>
  <si>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</si>
  <si>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</si>
  <si>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</si>
  <si>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</si>
  <si>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</si>
  <si>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</si>
  <si>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</si>
  <si>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</si>
  <si>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</si>
  <si>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</si>
  <si>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</si>
  <si>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</si>
  <si>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</si>
  <si>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</si>
  <si>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</si>
  <si>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</si>
  <si>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</si>
  <si>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</si>
  <si>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</si>
  <si>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</si>
  <si>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</si>
  <si>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</si>
  <si>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</si>
  <si>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</si>
  <si>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</si>
  <si>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</si>
  <si>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</si>
  <si>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</si>
  <si>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</si>
  <si>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</si>
  <si>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</si>
  <si>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</si>
  <si>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</si>
  <si>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</si>
  <si>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</si>
  <si>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</si>
  <si>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</si>
  <si>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</si>
  <si>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</si>
  <si>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</si>
  <si>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</si>
  <si>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</si>
  <si>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</si>
  <si>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</si>
  <si>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</si>
  <si>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</si>
  <si>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</si>
  <si>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</si>
  <si>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</si>
  <si>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</si>
  <si>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</si>
  <si>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</si>
  <si>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</si>
  <si>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</si>
  <si>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</si>
  <si>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</si>
  <si>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</si>
  <si>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</si>
  <si>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</si>
  <si>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</si>
  <si>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</si>
  <si>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</si>
  <si>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</si>
  <si>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</si>
  <si>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</si>
  <si>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</si>
  <si>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</si>
  <si>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</si>
  <si>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</si>
  <si>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</si>
  <si>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</si>
  <si>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</si>
  <si>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</si>
  <si>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</si>
  <si>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</si>
  <si>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</si>
  <si>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</si>
  <si>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</si>
  <si>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</si>
  <si>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</si>
  <si>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</si>
  <si>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</si>
  <si>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</si>
  <si>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</si>
  <si>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</si>
  <si>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</si>
  <si>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</si>
  <si>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</si>
  <si>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</si>
  <si>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</si>
  <si>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</si>
  <si>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</si>
  <si>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</si>
  <si>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</si>
  <si>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</si>
  <si>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</si>
  <si>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</si>
  <si>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</si>
  <si>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</si>
  <si>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</si>
  <si>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</si>
  <si>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</si>
  <si>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</si>
  <si>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</si>
  <si>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</si>
  <si>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</si>
  <si>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</si>
  <si>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</si>
  <si>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</si>
  <si>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</si>
  <si>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</si>
  <si>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</si>
  <si>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</si>
  <si>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</si>
  <si>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</si>
  <si>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</si>
  <si>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</si>
  <si>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</si>
  <si>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</si>
  <si>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</si>
  <si>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</si>
  <si>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</si>
  <si>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</si>
  <si>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</si>
  <si>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</si>
  <si>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</si>
  <si>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</si>
  <si>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</si>
  <si>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</si>
  <si>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</si>
  <si>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</si>
  <si>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</si>
  <si>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</si>
  <si>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</si>
  <si>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</si>
  <si>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</si>
  <si>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</si>
  <si>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</si>
  <si>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</si>
  <si>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</si>
  <si>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</si>
  <si>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</si>
  <si>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</si>
  <si>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</si>
  <si>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</si>
  <si>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</si>
  <si>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</si>
  <si>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</si>
  <si>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</si>
  <si>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</si>
  <si>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</si>
  <si>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</si>
  <si>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</si>
  <si>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</si>
  <si>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</si>
  <si>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</si>
  <si>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</si>
  <si>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</si>
  <si>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</si>
  <si>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</si>
  <si>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</si>
  <si>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</si>
  <si>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</si>
  <si>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</si>
  <si>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</si>
  <si>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</si>
  <si>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</si>
  <si>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</si>
  <si>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</si>
  <si>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</si>
  <si>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</si>
  <si>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</si>
  <si>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</si>
  <si>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</si>
  <si>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</si>
  <si>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</si>
  <si>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</si>
  <si>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</si>
  <si>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</si>
  <si>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</si>
  <si>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</si>
  <si>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</si>
  <si>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</si>
  <si>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</si>
  <si>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</si>
  <si>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</si>
  <si>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</si>
  <si>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</si>
  <si>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</si>
  <si>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</si>
  <si>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</si>
  <si>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</si>
  <si>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</si>
  <si>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</si>
  <si>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</si>
  <si>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</si>
  <si>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</si>
  <si>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</si>
  <si>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</si>
  <si>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</si>
  <si>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</si>
  <si>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</si>
  <si>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</si>
  <si>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</si>
  <si>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</si>
  <si>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</si>
  <si>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</si>
  <si>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</si>
  <si>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</si>
  <si>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</si>
  <si>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</si>
  <si>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</si>
  <si>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</si>
  <si>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</si>
  <si>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</si>
  <si>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</si>
  <si>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</si>
  <si>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</si>
  <si>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</si>
  <si>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</si>
  <si>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</si>
  <si>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</si>
  <si>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</si>
  <si>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</si>
  <si>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</si>
  <si>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</si>
  <si>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</si>
  <si>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</si>
  <si>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</si>
  <si>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</si>
  <si>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</si>
  <si>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</si>
  <si>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</si>
  <si>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</si>
  <si>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</si>
  <si>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</si>
  <si>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</si>
  <si>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</si>
  <si>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</si>
  <si>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</si>
  <si>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</si>
  <si>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</si>
  <si>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</si>
  <si>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</si>
  <si>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</si>
  <si>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</si>
  <si>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</si>
  <si>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</si>
  <si>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</si>
  <si>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</si>
  <si>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</si>
  <si>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</si>
  <si>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</si>
  <si>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</si>
  <si>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</si>
  <si>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</si>
  <si>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</si>
  <si>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</si>
  <si>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</si>
  <si>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</si>
  <si>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</si>
  <si>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</si>
  <si>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</si>
  <si>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</si>
  <si>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</si>
  <si>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</si>
  <si>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</si>
  <si>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</si>
  <si>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</si>
  <si>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</si>
  <si>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</si>
  <si>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</si>
  <si>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</si>
  <si>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</si>
  <si>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</si>
  <si>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</si>
  <si>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</si>
  <si>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</si>
  <si>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</si>
  <si>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</si>
  <si>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</si>
  <si>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</si>
  <si>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</si>
  <si>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</si>
  <si>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</si>
  <si>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</si>
  <si>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</si>
  <si>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</si>
  <si>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</si>
  <si>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</si>
  <si>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</si>
  <si>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</si>
  <si>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</si>
  <si>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</si>
  <si>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</si>
  <si>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</si>
  <si>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</si>
  <si>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</si>
  <si>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</si>
  <si>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</si>
  <si>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</si>
  <si>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</si>
  <si>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</si>
  <si>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</si>
  <si>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</si>
  <si>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</si>
  <si>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</si>
  <si>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</si>
  <si>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</si>
  <si>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</si>
  <si>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</si>
  <si>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</si>
  <si>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</si>
  <si>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</si>
  <si>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</si>
  <si>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</si>
  <si>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</si>
  <si>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</si>
  <si>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</si>
  <si>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</si>
  <si>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</si>
  <si>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</si>
  <si>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</si>
  <si>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</si>
  <si>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</si>
  <si>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</si>
  <si>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</si>
  <si>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</si>
  <si>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</si>
  <si>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</si>
  <si>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</si>
  <si>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</si>
  <si>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</si>
  <si>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</si>
  <si>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</si>
  <si>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</si>
  <si>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</si>
  <si>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</si>
  <si>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</si>
  <si>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</si>
  <si>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</si>
  <si>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</si>
  <si>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</si>
  <si>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</si>
  <si>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</si>
  <si>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</si>
  <si>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</si>
  <si>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</si>
  <si>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</si>
  <si>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</si>
  <si>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</si>
  <si>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</si>
  <si>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</si>
  <si>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</si>
  <si>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</si>
  <si>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</si>
  <si>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</si>
  <si>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</si>
  <si>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</si>
  <si>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</si>
  <si>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</si>
  <si>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</si>
  <si>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</si>
  <si>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</si>
  <si>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</si>
  <si>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</si>
  <si>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</si>
  <si>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</si>
  <si>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</si>
  <si>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</si>
  <si>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</si>
  <si>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</si>
  <si>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</si>
  <si>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</si>
  <si>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</si>
  <si>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</si>
  <si>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</si>
  <si>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</si>
  <si>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</si>
  <si>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</si>
  <si>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</si>
  <si>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</si>
  <si>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</si>
  <si>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</si>
  <si>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</si>
  <si>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</si>
  <si>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</si>
  <si>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</si>
  <si>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</si>
  <si>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</si>
  <si>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</si>
  <si>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</si>
  <si>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</si>
  <si>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</si>
  <si>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</si>
  <si>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</si>
  <si>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</si>
  <si>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</si>
  <si>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</si>
  <si>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</si>
  <si>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</si>
  <si>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</si>
  <si>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</si>
  <si>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</si>
  <si>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</si>
  <si>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</si>
  <si>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</si>
  <si>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</si>
  <si>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</si>
  <si>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</si>
  <si>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</si>
  <si>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</si>
  <si>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</si>
  <si>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</si>
  <si>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</si>
  <si>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</si>
  <si>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</si>
  <si>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</si>
  <si>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</si>
  <si>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</si>
  <si>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</si>
  <si>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</si>
  <si>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</si>
  <si>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</si>
  <si>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</si>
  <si>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</si>
  <si>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</si>
  <si>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</si>
  <si>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</si>
  <si>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</si>
  <si>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</si>
  <si>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</si>
  <si>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</si>
  <si>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</si>
  <si>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</si>
  <si>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</si>
  <si>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</si>
  <si>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</si>
  <si>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</si>
  <si>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</si>
  <si>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</si>
  <si>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</si>
  <si>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</si>
  <si>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</si>
  <si>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</si>
  <si>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</si>
  <si>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</si>
  <si>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</si>
  <si>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</si>
  <si>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</si>
  <si>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</si>
  <si>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</si>
  <si>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</si>
  <si>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</si>
  <si>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</si>
  <si>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</si>
  <si>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</si>
  <si>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</si>
  <si>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</si>
  <si>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</si>
  <si>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</si>
  <si>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</si>
  <si>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</si>
  <si>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</si>
  <si>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</si>
  <si>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</si>
  <si>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</si>
  <si>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</si>
  <si>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</si>
  <si>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</si>
  <si>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</si>
  <si>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</si>
  <si>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</si>
  <si>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</si>
  <si>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</si>
  <si>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</si>
  <si>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</si>
  <si>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</si>
  <si>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</si>
  <si>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</si>
  <si>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</si>
  <si>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</si>
  <si>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</si>
  <si>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</si>
  <si>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</si>
  <si>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</si>
  <si>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</si>
  <si>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</si>
  <si>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</si>
  <si>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</si>
  <si>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</si>
  <si>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</si>
  <si>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</si>
  <si>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</si>
  <si>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</si>
  <si>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</si>
  <si>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</si>
  <si>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</si>
  <si>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</si>
  <si>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</si>
  <si>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</si>
  <si>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</si>
  <si>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</si>
  <si>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</si>
  <si>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</si>
  <si>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</si>
  <si>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</si>
  <si>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</si>
  <si>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</si>
  <si>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</si>
  <si>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</si>
  <si>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</si>
  <si>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</si>
  <si>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</si>
  <si>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</si>
  <si>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</si>
  <si>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</si>
  <si>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</si>
  <si>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</si>
  <si>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</si>
  <si>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</si>
  <si>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</si>
  <si>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</si>
  <si>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</si>
  <si>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</si>
  <si>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</si>
  <si>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</si>
  <si>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</si>
  <si>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</si>
  <si>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</si>
  <si>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</si>
  <si>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</si>
  <si>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</si>
  <si>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</si>
  <si>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</si>
  <si>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</si>
  <si>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</si>
  <si>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</si>
  <si>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</si>
  <si>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</si>
  <si>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</si>
  <si>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</si>
  <si>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</si>
  <si>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</si>
  <si>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</si>
  <si>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</si>
  <si>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</si>
  <si>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</si>
  <si>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</si>
  <si>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</si>
  <si>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</si>
  <si>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</si>
  <si>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</si>
  <si>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</si>
  <si>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</si>
  <si>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</si>
  <si>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</si>
  <si>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</si>
  <si>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</si>
  <si>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</si>
  <si>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</si>
  <si>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</si>
  <si>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</si>
  <si>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</si>
  <si>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</si>
  <si>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</si>
  <si>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</si>
  <si>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</si>
  <si>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</si>
  <si>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</si>
  <si>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</si>
  <si>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</si>
  <si>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</si>
  <si>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</si>
  <si>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pm</t>
  </si>
  <si>
    <t>22.50-&gt;21.50</t>
  </si>
  <si>
    <t>92.15-&gt;89.10</t>
  </si>
  <si>
    <t>KHC</t>
  </si>
  <si>
    <t>15.75-&gt;15.50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</si>
</sst>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9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56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63"/>
      <tableStyleElement type="headerRow" dxfId="256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theme" Target="theme/theme1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9651472"/>
        <c:axId val="440029968"/>
      </c:scatterChart>
      <c:valAx>
        <c:axId val="429651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0029968"/>
        <c:crosses val="autoZero"/>
        <c:crossBetween val="midCat"/>
      </c:valAx>
      <c:valAx>
        <c:axId val="440029968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9651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9713168"/>
        <c:axId val="451185112"/>
      </c:scatterChart>
      <c:valAx>
        <c:axId val="4397131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185112"/>
        <c:crosses val="autoZero"/>
        <c:crossBetween val="midCat"/>
      </c:valAx>
      <c:valAx>
        <c:axId val="451185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7131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424784"/>
        <c:axId val="450420816"/>
      </c:scatterChart>
      <c:valAx>
        <c:axId val="4504247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20816"/>
        <c:crosses val="autoZero"/>
        <c:crossBetween val="midCat"/>
      </c:valAx>
      <c:valAx>
        <c:axId val="45042081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24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423272"/>
        <c:axId val="450413656"/>
      </c:scatterChart>
      <c:valAx>
        <c:axId val="450423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13656"/>
        <c:crosses val="autoZero"/>
        <c:crossBetween val="midCat"/>
      </c:valAx>
      <c:valAx>
        <c:axId val="45041365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423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0570840"/>
        <c:axId val="450571224"/>
      </c:scatterChart>
      <c:valAx>
        <c:axId val="450570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71224"/>
        <c:crosses val="autoZero"/>
        <c:crossBetween val="midCat"/>
      </c:valAx>
      <c:valAx>
        <c:axId val="450571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57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24896"/>
        <c:axId val="200525288"/>
      </c:scatterChart>
      <c:valAx>
        <c:axId val="2005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5288"/>
        <c:crosses val="autoZero"/>
        <c:crossBetween val="midCat"/>
      </c:valAx>
      <c:valAx>
        <c:axId val="20052528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4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26072"/>
        <c:axId val="200526464"/>
      </c:scatterChart>
      <c:valAx>
        <c:axId val="20052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6464"/>
        <c:crosses val="autoZero"/>
        <c:crossBetween val="midCat"/>
      </c:valAx>
      <c:valAx>
        <c:axId val="20052646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60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</c:numCache>
            </c:numRef>
          </c:xVal>
          <c:yVal>
            <c:numRef>
              <c:f>Balance!$Y$3:$Y$698</c:f>
              <c:numCache>
                <c:formatCode>0.00</c:formatCode>
                <c:ptCount val="69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249776"/>
        <c:axId val="451250168"/>
      </c:scatterChart>
      <c:valAx>
        <c:axId val="45124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50168"/>
        <c:crosses val="autoZero"/>
        <c:crossBetween val="midCat"/>
      </c:valAx>
      <c:valAx>
        <c:axId val="451250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24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467280"/>
        <c:axId val="451467672"/>
      </c:lineChart>
      <c:dateAx>
        <c:axId val="451467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67672"/>
        <c:crosses val="autoZero"/>
        <c:auto val="1"/>
        <c:lblOffset val="100"/>
        <c:baseTimeUnit val="days"/>
      </c:dateAx>
      <c:valAx>
        <c:axId val="4514676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6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24112"/>
        <c:axId val="200523720"/>
      </c:lineChart>
      <c:dateAx>
        <c:axId val="2005241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3720"/>
        <c:crosses val="autoZero"/>
        <c:auto val="1"/>
        <c:lblOffset val="100"/>
        <c:baseTimeUnit val="days"/>
      </c:dateAx>
      <c:valAx>
        <c:axId val="200523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2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472376"/>
        <c:axId val="451472768"/>
      </c:lineChart>
      <c:dateAx>
        <c:axId val="451472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72768"/>
        <c:crosses val="autoZero"/>
        <c:auto val="1"/>
        <c:lblOffset val="100"/>
        <c:baseTimeUnit val="days"/>
      </c:dateAx>
      <c:valAx>
        <c:axId val="4514727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72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474728"/>
        <c:axId val="452386760"/>
      </c:lineChart>
      <c:dateAx>
        <c:axId val="4514747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86760"/>
        <c:crosses val="autoZero"/>
        <c:auto val="1"/>
        <c:lblOffset val="100"/>
        <c:baseTimeUnit val="days"/>
      </c:dateAx>
      <c:valAx>
        <c:axId val="452386760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474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88720"/>
        <c:axId val="452389112"/>
      </c:lineChart>
      <c:dateAx>
        <c:axId val="452388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89112"/>
        <c:crosses val="autoZero"/>
        <c:auto val="1"/>
        <c:lblOffset val="100"/>
        <c:baseTimeUnit val="days"/>
      </c:dateAx>
      <c:valAx>
        <c:axId val="452389112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8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91072"/>
        <c:axId val="452391464"/>
      </c:lineChart>
      <c:dateAx>
        <c:axId val="452391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91464"/>
        <c:crosses val="autoZero"/>
        <c:auto val="1"/>
        <c:lblOffset val="100"/>
        <c:baseTimeUnit val="days"/>
      </c:dateAx>
      <c:valAx>
        <c:axId val="452391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9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2393816"/>
        <c:axId val="452394208"/>
      </c:lineChart>
      <c:catAx>
        <c:axId val="452393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94208"/>
        <c:crosses val="autoZero"/>
        <c:auto val="1"/>
        <c:lblAlgn val="ctr"/>
        <c:lblOffset val="100"/>
        <c:noMultiLvlLbl val="0"/>
      </c:catAx>
      <c:valAx>
        <c:axId val="4523942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393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4748288"/>
        <c:axId val="454748680"/>
      </c:lineChart>
      <c:dateAx>
        <c:axId val="454748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8680"/>
        <c:crosses val="autoZero"/>
        <c:auto val="1"/>
        <c:lblOffset val="100"/>
        <c:baseTimeUnit val="days"/>
      </c:dateAx>
      <c:valAx>
        <c:axId val="4547486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74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84104"/>
        <c:axId val="465784496"/>
      </c:lineChart>
      <c:dateAx>
        <c:axId val="465784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4496"/>
        <c:crosses val="autoZero"/>
        <c:auto val="1"/>
        <c:lblOffset val="100"/>
        <c:baseTimeUnit val="days"/>
      </c:dateAx>
      <c:valAx>
        <c:axId val="465784496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4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786456"/>
        <c:axId val="465786848"/>
      </c:lineChart>
      <c:catAx>
        <c:axId val="465786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848"/>
        <c:crosses val="autoZero"/>
        <c:auto val="1"/>
        <c:lblAlgn val="ctr"/>
        <c:lblOffset val="100"/>
        <c:noMultiLvlLbl val="0"/>
      </c:catAx>
      <c:valAx>
        <c:axId val="46578684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786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70528"/>
        <c:axId val="487170920"/>
      </c:lineChart>
      <c:catAx>
        <c:axId val="487170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0920"/>
        <c:crosses val="autoZero"/>
        <c:auto val="1"/>
        <c:lblAlgn val="ctr"/>
        <c:lblOffset val="100"/>
        <c:noMultiLvlLbl val="0"/>
      </c:catAx>
      <c:valAx>
        <c:axId val="4871709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73272"/>
        <c:axId val="487173664"/>
      </c:lineChart>
      <c:dateAx>
        <c:axId val="487173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3664"/>
        <c:crosses val="autoZero"/>
        <c:auto val="1"/>
        <c:lblOffset val="100"/>
        <c:baseTimeUnit val="days"/>
      </c:dateAx>
      <c:valAx>
        <c:axId val="4871736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3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175624"/>
        <c:axId val="487176016"/>
      </c:lineChart>
      <c:catAx>
        <c:axId val="487175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6016"/>
        <c:crosses val="autoZero"/>
        <c:auto val="1"/>
        <c:lblAlgn val="ctr"/>
        <c:lblOffset val="100"/>
        <c:noMultiLvlLbl val="0"/>
      </c:catAx>
      <c:valAx>
        <c:axId val="4871760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175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38352"/>
        <c:axId val="508338744"/>
      </c:lineChart>
      <c:dateAx>
        <c:axId val="508338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8744"/>
        <c:crosses val="autoZero"/>
        <c:auto val="1"/>
        <c:lblOffset val="100"/>
        <c:baseTimeUnit val="days"/>
      </c:dateAx>
      <c:valAx>
        <c:axId val="50833874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38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0704"/>
        <c:axId val="508341096"/>
      </c:lineChart>
      <c:dateAx>
        <c:axId val="508340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1096"/>
        <c:crosses val="autoZero"/>
        <c:auto val="1"/>
        <c:lblOffset val="100"/>
        <c:baseTimeUnit val="days"/>
      </c:dateAx>
      <c:valAx>
        <c:axId val="508341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8345408"/>
        <c:axId val="508345800"/>
      </c:lineChart>
      <c:dateAx>
        <c:axId val="5083454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5800"/>
        <c:crosses val="autoZero"/>
        <c:auto val="0"/>
        <c:lblOffset val="100"/>
        <c:baseTimeUnit val="days"/>
      </c:dateAx>
      <c:valAx>
        <c:axId val="50834580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345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38856"/>
        <c:axId val="529239248"/>
      </c:lineChart>
      <c:dateAx>
        <c:axId val="5292388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9248"/>
        <c:crosses val="autoZero"/>
        <c:auto val="1"/>
        <c:lblOffset val="100"/>
        <c:baseTimeUnit val="days"/>
      </c:dateAx>
      <c:valAx>
        <c:axId val="5292392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3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41208"/>
        <c:axId val="529241600"/>
      </c:lineChart>
      <c:catAx>
        <c:axId val="5292412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1600"/>
        <c:crosses val="autoZero"/>
        <c:auto val="1"/>
        <c:lblAlgn val="ctr"/>
        <c:lblOffset val="100"/>
        <c:noMultiLvlLbl val="0"/>
      </c:catAx>
      <c:valAx>
        <c:axId val="5292416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243560"/>
        <c:axId val="528629888"/>
      </c:lineChart>
      <c:catAx>
        <c:axId val="529243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29888"/>
        <c:crosses val="autoZero"/>
        <c:auto val="1"/>
        <c:lblAlgn val="ctr"/>
        <c:lblOffset val="100"/>
        <c:noMultiLvlLbl val="0"/>
      </c:catAx>
      <c:valAx>
        <c:axId val="528629888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24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631848"/>
        <c:axId val="528632240"/>
      </c:lineChart>
      <c:catAx>
        <c:axId val="528631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32240"/>
        <c:crosses val="autoZero"/>
        <c:auto val="1"/>
        <c:lblAlgn val="ctr"/>
        <c:lblOffset val="100"/>
        <c:noMultiLvlLbl val="0"/>
      </c:catAx>
      <c:valAx>
        <c:axId val="52863224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631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79840"/>
        <c:axId val="541380232"/>
      </c:lineChart>
      <c:dateAx>
        <c:axId val="54137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80232"/>
        <c:crosses val="autoZero"/>
        <c:auto val="1"/>
        <c:lblOffset val="100"/>
        <c:baseTimeUnit val="days"/>
      </c:dateAx>
      <c:valAx>
        <c:axId val="541380232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82976"/>
        <c:axId val="541383368"/>
      </c:lineChart>
      <c:dateAx>
        <c:axId val="541382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83368"/>
        <c:crosses val="autoZero"/>
        <c:auto val="1"/>
        <c:lblOffset val="100"/>
        <c:baseTimeUnit val="days"/>
      </c:dateAx>
      <c:valAx>
        <c:axId val="541383368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8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386504"/>
        <c:axId val="541386896"/>
      </c:lineChart>
      <c:catAx>
        <c:axId val="541386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86896"/>
        <c:crosses val="autoZero"/>
        <c:auto val="1"/>
        <c:lblAlgn val="ctr"/>
        <c:lblOffset val="100"/>
        <c:noMultiLvlLbl val="0"/>
      </c:catAx>
      <c:valAx>
        <c:axId val="54138689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38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505408"/>
        <c:axId val="546505800"/>
      </c:lineChart>
      <c:dateAx>
        <c:axId val="546505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5800"/>
        <c:crosses val="autoZero"/>
        <c:auto val="1"/>
        <c:lblOffset val="100"/>
        <c:baseTimeUnit val="days"/>
      </c:dateAx>
      <c:valAx>
        <c:axId val="5465058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50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300037</xdr:colOff>
      <xdr:row>30</xdr:row>
      <xdr:rowOff>9525</xdr:rowOff>
    </xdr:from>
    <xdr:to>
      <xdr:col>42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266700</xdr:colOff>
      <xdr:row>15</xdr:row>
      <xdr:rowOff>47625</xdr:rowOff>
    </xdr:from>
    <xdr:to>
      <xdr:col>42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276225</xdr:colOff>
      <xdr:row>0</xdr:row>
      <xdr:rowOff>28575</xdr:rowOff>
    </xdr:from>
    <xdr:to>
      <xdr:col>42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323850</xdr:colOff>
      <xdr:row>45</xdr:row>
      <xdr:rowOff>114300</xdr:rowOff>
    </xdr:from>
    <xdr:to>
      <xdr:col>43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323850</xdr:colOff>
      <xdr:row>63</xdr:row>
      <xdr:rowOff>219075</xdr:rowOff>
    </xdr:from>
    <xdr:to>
      <xdr:col>43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304800</xdr:colOff>
      <xdr:row>82</xdr:row>
      <xdr:rowOff>123825</xdr:rowOff>
    </xdr:from>
    <xdr:to>
      <xdr:col>42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26</xdr:col>
      <xdr:colOff>323850</xdr:colOff>
      <xdr:row>100</xdr:row>
      <xdr:rowOff>161925</xdr:rowOff>
    </xdr:from>
    <xdr:to>
      <xdr:col>43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314325</xdr:colOff>
      <xdr:row>118</xdr:row>
      <xdr:rowOff>152400</xdr:rowOff>
    </xdr:from>
    <xdr:to>
      <xdr:col>43</xdr:col>
      <xdr:colOff>4082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6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6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APL" backgroundRefresh="0" connectionId="6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6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7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7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foxa" backgroundRefresh="0" connectionId="7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foxa" backgroundRefresh="0" adjustColumnWidth="0" connectionId="7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luv&amp;ql=1" backgroundRefresh="0" connectionId="7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LUV" backgroundRefresh="0" adjustColumnWidth="0" connectionId="7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KAM+Historical+Prices" backgroundRefresh="0" adjustColumnWidth="0" connectionId="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AKAM" backgroundRefresh="0" connectionId="7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vs" backgroundRefresh="0" connectionId="8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cvs" backgroundRefresh="0" adjustColumnWidth="0" connectionId="8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KR" backgroundRefresh="0" connectionId="1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F" backgroundRefresh="0" adjustColumnWidth="0" connectionId="5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JNJ" backgroundRefresh="0" connectionId="8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jnj" backgroundRefresh="0" adjustColumnWidth="0" connectionId="8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CPN" backgroundRefresh="0" connectionId="3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CPN+Historical+Prices" backgroundRefresh="0" adjustColumnWidth="0" connectionId="4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vgk" backgroundRefresh="0" connectionId="6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vgk" backgroundRefresh="0" connectionId="66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IP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IP" backgroundRefresh="0" adjustColumnWidth="0" connectionId="5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HES" backgroundRefresh="0" connectionId="6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clh" backgroundRefresh="0" adjustColumnWidth="0" connectionId="8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clh" backgroundRefresh="0" connectionId="8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SWKS" backgroundRefresh="0" connectionId="5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SWKS" backgroundRefresh="0" adjustColumnWidth="0" connectionId="5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CNI" backgroundRefresh="0" adjustColumnWidth="0" connectionId="4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CNI" backgroundRefresh="0" adjustColumnWidth="0" connectionId="4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WFC" backgroundRefresh="0" adjustColumnWidth="0" connectionId="5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WFC" backgroundRefresh="0" connectionId="5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CF" backgroundRefres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NWL" backgroundRefresh="0" connectionId="5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KORS" backgroundRefresh="0" adjustColumnWidth="0" connectionId="3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KORS" backgroundRefresh="0" adjustColumnWidth="0" connectionId="3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ALL+Historical+Prices" backgroundRefresh="0" adjustColumnWidth="0" connectionId="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ALL" backgroundRefresh="0" connectionId="5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AH" backgroundRefresh="0" adjustColumnWidth="0" connectionId="3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AH" backgroundRefresh="0" connectionId="34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DAL" backgroundRefresh="0" adjustColumnWidth="0" connectionId="5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DAL" backgroundRefresh="0" adjustColumnWidth="0" connectionId="50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FTR" backgroundRefresh="0" adjustColumnWidth="0" connectionId="44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WWD" backgroundRefresh="0" adjustColumnWidth="0" connectionId="4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WWD" backgroundRefresh="0" adjustColumnWidth="0" connectionId="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GIS_1" backgroundRefresh="0" adjustColumnWidth="0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GIS" adjustColumnWidth="0" connectionId="6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M" backgroundRefresh="0" connectionId="2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M" backgroundRefresh="0" adjustColumnWidth="0" connectionId="29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tmo" backgroundRefresh="0" adjustColumnWidth="0" connectionId="4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tmo" backgroundRefresh="0" adjustColumnWidth="0" connectionId="46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hp?s=TKR" backgroundRefresh="0" adjustColumnWidth="0" connectionId="1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UTX" backgroundRefresh="0" adjustColumnWidth="0" connectionId="3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UTX" backgroundRefresh="0" adjustColumnWidth="0" connectionId="4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NH" backgroundRefresh="0" adjustColumnWidth="0" connectionId="37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NH" backgroundRefresh="0" adjustColumnWidth="0" connectionId="38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045" dataDxfId="2044">
  <autoFilter ref="O14:W25"/>
  <tableColumns count="9">
    <tableColumn id="1" name="Date" dataDxfId="2043"/>
    <tableColumn id="2" name="Quarter" dataDxfId="2042"/>
    <tableColumn id="3" name="Time" dataDxfId="2041"/>
    <tableColumn id="4" name="EPS estimate" dataDxfId="2040"/>
    <tableColumn id="5" name="EPS Actual" dataDxfId="2039"/>
    <tableColumn id="6" name="Sales Estiamte (B)" dataDxfId="2038"/>
    <tableColumn id="7" name="Sales Actual (B)" dataDxfId="2037"/>
    <tableColumn id="8" name="Guidance" dataDxfId="2036"/>
    <tableColumn id="9" name="Reaction" dataDxfId="2035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1774" dataDxfId="1773">
  <autoFilter ref="O16:W27"/>
  <tableColumns count="9">
    <tableColumn id="1" name="Date" dataDxfId="1772"/>
    <tableColumn id="2" name="Quarter" dataDxfId="1771"/>
    <tableColumn id="3" name="Time" dataDxfId="1770"/>
    <tableColumn id="4" name="EPS estimate" dataDxfId="1769"/>
    <tableColumn id="5" name="EPS Actual" dataDxfId="1768"/>
    <tableColumn id="6" name="Sales Estiamte (B)" dataDxfId="1767"/>
    <tableColumn id="7" name="Sales Actual (B)" dataDxfId="1766"/>
    <tableColumn id="8" name="Guidance" dataDxfId="1765"/>
    <tableColumn id="9" name="Reaction" dataDxfId="1764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1367" dataDxfId="1366">
  <autoFilter ref="T80:AB91"/>
  <tableColumns count="9">
    <tableColumn id="1" name="Date" dataDxfId="1365"/>
    <tableColumn id="2" name="Quarter" dataDxfId="1364"/>
    <tableColumn id="3" name="Time" dataDxfId="1363"/>
    <tableColumn id="4" name="EPS estimate" dataDxfId="1362"/>
    <tableColumn id="5" name="EPS Actual" dataDxfId="1361"/>
    <tableColumn id="6" name="Sales Estiamte (B)" dataDxfId="1360"/>
    <tableColumn id="7" name="Sales Actual (B)" dataDxfId="1359"/>
    <tableColumn id="8" name="Guidance" dataDxfId="1358"/>
    <tableColumn id="9" name="Reaction" dataDxfId="135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892" dataDxfId="891">
  <autoFilter ref="O15:W26"/>
  <tableColumns count="9">
    <tableColumn id="1" name="Date" dataDxfId="890"/>
    <tableColumn id="2" name="Quarter" dataDxfId="889"/>
    <tableColumn id="3" name="Time" dataDxfId="888"/>
    <tableColumn id="4" name="EPS estimate" dataDxfId="887"/>
    <tableColumn id="5" name="EPS Actual" dataDxfId="886"/>
    <tableColumn id="6" name="Sales Estiamte (B)" dataDxfId="885"/>
    <tableColumn id="7" name="Sales Actual (B)" dataDxfId="884"/>
    <tableColumn id="8" name="Guidance" dataDxfId="883"/>
    <tableColumn id="9" name="Reaction" dataDxfId="882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1.xml"/><Relationship Id="rId4" Type="http://schemas.openxmlformats.org/officeDocument/2006/relationships/drawing" Target="../drawings/drawing1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queryTable" Target="../queryTables/queryTable23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2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3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http://www.nasdaq.com/markets/corn.aspx?timeframe=2y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32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trendforce.com/price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3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42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5.bin"/><Relationship Id="rId4" Type="http://schemas.openxmlformats.org/officeDocument/2006/relationships/queryTable" Target="../queryTables/queryTable44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queryTable" Target="../queryTables/queryTable45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4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0.xml"/><Relationship Id="rId4" Type="http://schemas.openxmlformats.org/officeDocument/2006/relationships/queryTable" Target="../queryTables/queryTable49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55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7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59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61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queryTable" Target="../queryTables/queryTable62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4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0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queryTable" Target="../queryTables/queryTable72.xml"/><Relationship Id="rId1" Type="http://schemas.openxmlformats.org/officeDocument/2006/relationships/drawing" Target="../drawings/drawing35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5.xml"/><Relationship Id="rId1" Type="http://schemas.openxmlformats.org/officeDocument/2006/relationships/queryTable" Target="../queryTables/queryTable74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queryTable" Target="../queryTables/queryTable76.xml"/><Relationship Id="rId1" Type="http://schemas.openxmlformats.org/officeDocument/2006/relationships/drawing" Target="../drawings/drawing36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79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1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83.xm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queryTable" Target="../queryTables/queryTable84.xml"/><Relationship Id="rId1" Type="http://schemas.openxmlformats.org/officeDocument/2006/relationships/drawing" Target="../drawings/drawing4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 activeCell="R72" sqref="R72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7.42578125" style="49" bestFit="1" customWidth="1"/>
    <col min="9" max="9" width="10.7109375" style="48" bestFit="1" customWidth="1"/>
    <col min="10" max="10" width="12.28515625" style="366" bestFit="1" customWidth="1"/>
    <col min="11" max="11" width="14.140625" style="134" bestFit="1" customWidth="1"/>
    <col min="12" max="12" width="14.42578125" style="48" bestFit="1" customWidth="1"/>
    <col min="13" max="13" width="9.7109375" bestFit="1" customWidth="1"/>
    <col min="14" max="14" width="10.28515625" style="48" bestFit="1" customWidth="1"/>
    <col min="15" max="15" width="9.140625" style="789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4" t="s">
        <v>180</v>
      </c>
      <c r="K1" s="352" t="s">
        <v>208</v>
      </c>
      <c r="L1" s="57" t="s">
        <v>178</v>
      </c>
      <c r="M1" s="57" t="s">
        <v>231</v>
      </c>
      <c r="N1" s="57" t="s">
        <v>819</v>
      </c>
      <c r="O1" s="352" t="s">
        <v>207</v>
      </c>
      <c r="P1" s="352" t="s">
        <v>282</v>
      </c>
    </row>
    <row r="2" spans="1:21" ht="21.95" customHeight="1" x14ac:dyDescent="0.25">
      <c r="A2" s="50"/>
      <c r="B2" s="50"/>
      <c r="C2" s="51"/>
      <c r="E2" s="22" t="s">
        <v>50</v>
      </c>
      <c r="F2" s="2">
        <v>14.52</v>
      </c>
      <c r="G2" s="2">
        <v>15.581910937499988</v>
      </c>
      <c r="H2" s="49">
        <v>6400</v>
      </c>
      <c r="I2" s="48">
        <v>99724.229999999923</v>
      </c>
      <c r="J2" s="365">
        <v>-6796.2299999999232</v>
      </c>
      <c r="K2" s="353">
        <v>-6.8150237911086695E-2</v>
      </c>
      <c r="L2" s="365">
        <v>7819.3410000017029</v>
      </c>
      <c r="M2">
        <v>1100</v>
      </c>
      <c r="N2" s="134"/>
      <c r="O2" s="788">
        <v>1.3774104683195593E-2</v>
      </c>
      <c r="P2" s="134">
        <v>-3.2000000000000001E-2</v>
      </c>
      <c r="Q2" s="436"/>
      <c r="R2" s="48"/>
      <c r="S2" s="48"/>
      <c r="U2" s="48"/>
    </row>
    <row r="3" spans="1:21" ht="21.95" customHeight="1" x14ac:dyDescent="0.25">
      <c r="A3" s="50"/>
      <c r="B3" s="50"/>
      <c r="C3" s="50"/>
      <c r="E3" s="22" t="s">
        <v>196</v>
      </c>
      <c r="F3" s="2">
        <v>27.12</v>
      </c>
      <c r="G3" s="2">
        <v>29.961077777777767</v>
      </c>
      <c r="H3" s="49">
        <v>1800</v>
      </c>
      <c r="I3" s="48">
        <v>53929.939999999981</v>
      </c>
      <c r="J3" s="365">
        <v>-5113.9399999999878</v>
      </c>
      <c r="K3" s="353">
        <v>-9.4825620054462892E-2</v>
      </c>
      <c r="L3" s="365">
        <v>-3365.9699999999939</v>
      </c>
      <c r="M3">
        <v>800</v>
      </c>
      <c r="N3" s="134"/>
      <c r="O3" s="788">
        <v>1.8436578171091445E-2</v>
      </c>
      <c r="P3" s="134">
        <v>-5.8999999999999999E-3</v>
      </c>
    </row>
    <row r="4" spans="1:21" ht="21.95" customHeight="1" x14ac:dyDescent="0.25">
      <c r="A4" s="50"/>
      <c r="B4" s="50"/>
      <c r="C4" s="51"/>
      <c r="E4" s="22" t="s">
        <v>735</v>
      </c>
      <c r="F4" s="2">
        <v>203.35</v>
      </c>
      <c r="G4" s="2">
        <v>200.63043478260869</v>
      </c>
      <c r="H4" s="329">
        <v>115</v>
      </c>
      <c r="I4" s="48">
        <v>23072.5</v>
      </c>
      <c r="J4" s="365">
        <v>312.75</v>
      </c>
      <c r="K4" s="353">
        <v>1.3555098060461597E-2</v>
      </c>
      <c r="L4" s="365">
        <v>537.52000000000044</v>
      </c>
      <c r="M4" s="29">
        <v>43168</v>
      </c>
      <c r="O4" s="788">
        <v>0</v>
      </c>
      <c r="P4" s="134">
        <v>1.4E-3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776</v>
      </c>
      <c r="F5" s="2">
        <v>66.19</v>
      </c>
      <c r="G5" s="2">
        <v>71.381699999999995</v>
      </c>
      <c r="H5" s="49">
        <v>200</v>
      </c>
      <c r="I5" s="48">
        <v>14276.339999999998</v>
      </c>
      <c r="J5" s="365">
        <v>-1038.3400000000001</v>
      </c>
      <c r="K5" s="353">
        <v>-7.2731526427641788E-2</v>
      </c>
      <c r="L5" s="48">
        <v>-1038.3400000000001</v>
      </c>
      <c r="M5">
        <v>50</v>
      </c>
      <c r="N5" s="134"/>
      <c r="O5" s="788">
        <v>0</v>
      </c>
      <c r="P5" s="134">
        <v>-1.52E-2</v>
      </c>
      <c r="Q5" s="148"/>
      <c r="S5" s="48"/>
      <c r="T5" s="48"/>
    </row>
    <row r="6" spans="1:21" ht="21.95" customHeight="1" x14ac:dyDescent="0.25">
      <c r="A6" s="50"/>
      <c r="B6" s="50"/>
      <c r="C6" s="51"/>
      <c r="E6" s="22" t="s">
        <v>175</v>
      </c>
      <c r="F6" s="2">
        <v>271.64999999999998</v>
      </c>
      <c r="G6" s="2">
        <v>265.11799999999999</v>
      </c>
      <c r="H6" s="329">
        <v>50</v>
      </c>
      <c r="I6" s="48">
        <v>13255.9</v>
      </c>
      <c r="J6" s="365">
        <v>326.59999999999854</v>
      </c>
      <c r="K6" s="353">
        <v>2.4638085682601642E-2</v>
      </c>
      <c r="L6" s="365">
        <v>487.42999999999847</v>
      </c>
      <c r="M6" s="29">
        <v>43167</v>
      </c>
      <c r="N6" s="134"/>
      <c r="O6" s="788">
        <v>1.84E-2</v>
      </c>
      <c r="P6" s="134">
        <v>-1.01E-2</v>
      </c>
      <c r="Q6" s="148"/>
      <c r="R6" s="48"/>
      <c r="S6" s="48"/>
      <c r="T6" s="48"/>
      <c r="U6" s="48"/>
    </row>
    <row r="7" spans="1:21" ht="21.95" customHeight="1" x14ac:dyDescent="0.25">
      <c r="A7" s="50"/>
      <c r="B7" s="50"/>
      <c r="C7" s="51"/>
      <c r="E7" s="22" t="s">
        <v>215</v>
      </c>
      <c r="F7" s="2">
        <v>50.28</v>
      </c>
      <c r="G7" s="2">
        <v>54.98449999999999</v>
      </c>
      <c r="H7" s="49">
        <v>200</v>
      </c>
      <c r="I7" s="48">
        <v>10996.899999999998</v>
      </c>
      <c r="J7" s="365">
        <v>-940.89999999999782</v>
      </c>
      <c r="K7" s="353">
        <v>-8.5560476134183078E-2</v>
      </c>
      <c r="L7" s="365">
        <v>216.96999999999753</v>
      </c>
      <c r="M7" s="29">
        <v>43171</v>
      </c>
      <c r="N7" s="134"/>
      <c r="O7" s="788">
        <v>2.4661893396976928E-2</v>
      </c>
      <c r="P7" s="134">
        <v>-7.6E-3</v>
      </c>
      <c r="R7" s="48"/>
      <c r="S7" s="48"/>
      <c r="T7" s="351"/>
      <c r="U7" s="351"/>
    </row>
    <row r="8" spans="1:21" ht="21.95" customHeight="1" x14ac:dyDescent="0.25">
      <c r="A8" s="50"/>
      <c r="B8" s="50"/>
      <c r="C8" s="51"/>
      <c r="E8" s="22" t="s">
        <v>972</v>
      </c>
      <c r="F8" s="2">
        <v>250.2</v>
      </c>
      <c r="G8" s="2">
        <v>241.09177777777779</v>
      </c>
      <c r="H8" s="329">
        <v>45</v>
      </c>
      <c r="I8" s="48">
        <v>10849.130000000001</v>
      </c>
      <c r="J8" s="365">
        <v>409.86999999999898</v>
      </c>
      <c r="K8" s="353">
        <v>3.7779066155534939E-2</v>
      </c>
      <c r="L8" s="365">
        <v>409.86999999999898</v>
      </c>
      <c r="M8" s="29">
        <v>43167</v>
      </c>
      <c r="N8" s="134"/>
      <c r="O8" s="788">
        <v>1.9900000000000001E-2</v>
      </c>
      <c r="P8" s="134">
        <v>-1.4800000000000001E-2</v>
      </c>
      <c r="Q8" s="436"/>
      <c r="R8" s="48"/>
      <c r="S8" s="48"/>
    </row>
    <row r="9" spans="1:21" ht="21.95" customHeight="1" x14ac:dyDescent="0.25">
      <c r="A9" s="60"/>
      <c r="B9" s="61"/>
      <c r="C9" s="60"/>
      <c r="E9" s="22" t="s">
        <v>872</v>
      </c>
      <c r="F9" s="2">
        <v>31.58</v>
      </c>
      <c r="G9" s="2">
        <v>35.963333333333331</v>
      </c>
      <c r="H9" s="329">
        <v>300</v>
      </c>
      <c r="I9" s="48">
        <v>10789</v>
      </c>
      <c r="J9" s="365">
        <v>-1315</v>
      </c>
      <c r="K9" s="353">
        <v>-0.1218833997590138</v>
      </c>
      <c r="L9" s="365">
        <v>-1315</v>
      </c>
      <c r="M9">
        <v>100</v>
      </c>
      <c r="N9" s="134"/>
      <c r="O9" s="788">
        <v>3.2932235592146933E-2</v>
      </c>
      <c r="P9" s="134">
        <v>-8.2000000000000007E-3</v>
      </c>
      <c r="R9" s="48"/>
      <c r="S9" s="48"/>
    </row>
    <row r="10" spans="1:21" ht="21.95" customHeight="1" x14ac:dyDescent="0.25">
      <c r="A10" s="50"/>
      <c r="B10" s="51"/>
      <c r="C10" s="51"/>
      <c r="E10" s="22" t="s">
        <v>174</v>
      </c>
      <c r="F10" s="2">
        <v>25.69</v>
      </c>
      <c r="G10" s="2">
        <v>37.765464285714266</v>
      </c>
      <c r="H10" s="329">
        <v>280</v>
      </c>
      <c r="I10" s="48">
        <v>10574.329999999994</v>
      </c>
      <c r="J10" s="365">
        <v>-3381.1299999999937</v>
      </c>
      <c r="K10" s="353">
        <v>-0.31974886352137638</v>
      </c>
      <c r="L10" s="365">
        <v>-3306.1099999999938</v>
      </c>
      <c r="M10">
        <v>280</v>
      </c>
      <c r="O10" s="788">
        <v>3.5811599844297388E-2</v>
      </c>
      <c r="P10" s="134">
        <v>-4.6800000000000001E-2</v>
      </c>
      <c r="Q10" s="48"/>
      <c r="R10" s="48"/>
      <c r="S10" s="48"/>
      <c r="T10" s="48"/>
    </row>
    <row r="11" spans="1:21" ht="21.95" customHeight="1" x14ac:dyDescent="0.25">
      <c r="A11" s="50"/>
      <c r="B11" s="50"/>
      <c r="C11" s="51"/>
      <c r="E11" s="22" t="s">
        <v>778</v>
      </c>
      <c r="F11" s="2">
        <v>68.89</v>
      </c>
      <c r="G11" s="2">
        <v>70.04340000000002</v>
      </c>
      <c r="H11" s="329">
        <v>150</v>
      </c>
      <c r="I11" s="48">
        <v>10506.510000000002</v>
      </c>
      <c r="J11" s="365">
        <v>-173.01000000000204</v>
      </c>
      <c r="K11" s="353">
        <v>-1.6466933358460879E-2</v>
      </c>
      <c r="L11" s="365">
        <v>-173.01000000000204</v>
      </c>
      <c r="M11">
        <v>50</v>
      </c>
      <c r="N11" s="134"/>
      <c r="O11" s="788">
        <v>2.3225431847873422E-2</v>
      </c>
      <c r="P11" s="134">
        <v>-3.5999999999999999E-3</v>
      </c>
      <c r="Q11" s="148"/>
      <c r="S11" s="48"/>
    </row>
    <row r="12" spans="1:21" ht="21.95" customHeight="1" x14ac:dyDescent="0.25">
      <c r="A12" s="50"/>
      <c r="B12" s="51"/>
      <c r="C12" s="51"/>
      <c r="E12" s="22" t="s">
        <v>227</v>
      </c>
      <c r="F12" s="2">
        <v>26.32</v>
      </c>
      <c r="G12" s="2">
        <v>21.809049999999971</v>
      </c>
      <c r="H12" s="329">
        <v>400</v>
      </c>
      <c r="I12" s="428">
        <v>8723.6199999999881</v>
      </c>
      <c r="J12" s="365">
        <v>1804.3800000000119</v>
      </c>
      <c r="K12" s="353">
        <v>0.20683844550771519</v>
      </c>
      <c r="L12" s="365">
        <v>3256.6400000000103</v>
      </c>
      <c r="M12" s="29">
        <v>43164</v>
      </c>
      <c r="N12" s="134"/>
      <c r="O12" s="788">
        <v>3.7993920972644378E-3</v>
      </c>
      <c r="P12" s="134">
        <v>-1.8599999999999998E-2</v>
      </c>
      <c r="Q12" s="148"/>
      <c r="R12" s="48"/>
      <c r="S12" s="48"/>
    </row>
    <row r="13" spans="1:21" ht="21.95" customHeight="1" x14ac:dyDescent="0.25">
      <c r="A13" s="50"/>
      <c r="B13" s="50"/>
      <c r="C13" s="51"/>
      <c r="E13" s="22" t="s">
        <v>333</v>
      </c>
      <c r="F13" s="2">
        <v>9</v>
      </c>
      <c r="G13" s="2">
        <v>13.059716666666667</v>
      </c>
      <c r="H13" s="329">
        <v>600</v>
      </c>
      <c r="I13" s="48">
        <v>7835.83</v>
      </c>
      <c r="J13" s="365">
        <v>-2435.83</v>
      </c>
      <c r="K13" s="353">
        <v>-0.31085794357457985</v>
      </c>
      <c r="L13" s="365">
        <v>-1152.4100000000053</v>
      </c>
      <c r="M13">
        <v>300</v>
      </c>
      <c r="N13" s="134"/>
      <c r="O13" s="788">
        <v>0</v>
      </c>
      <c r="P13" s="134">
        <v>-3.2300000000000002E-2</v>
      </c>
      <c r="R13" s="48"/>
      <c r="S13" s="48"/>
      <c r="T13" s="48"/>
      <c r="U13" s="48"/>
    </row>
    <row r="14" spans="1:21" ht="21.95" customHeight="1" x14ac:dyDescent="0.25">
      <c r="A14" s="50"/>
      <c r="B14" s="51"/>
      <c r="C14" s="51"/>
      <c r="E14" s="22" t="s">
        <v>173</v>
      </c>
      <c r="F14" s="2">
        <v>58.41</v>
      </c>
      <c r="G14" s="2">
        <v>53.050416666666671</v>
      </c>
      <c r="H14" s="49">
        <v>120</v>
      </c>
      <c r="I14" s="48">
        <v>6366.05</v>
      </c>
      <c r="J14" s="365">
        <v>643.14999999999964</v>
      </c>
      <c r="K14" s="353">
        <v>0.10102811005254421</v>
      </c>
      <c r="L14" s="365">
        <v>2247.7300000000014</v>
      </c>
      <c r="M14">
        <v>80</v>
      </c>
      <c r="N14" s="134"/>
      <c r="O14" s="788">
        <v>2.6707755521314845E-2</v>
      </c>
      <c r="P14" s="134">
        <v>-1.38E-2</v>
      </c>
    </row>
    <row r="15" spans="1:21" ht="21.95" customHeight="1" x14ac:dyDescent="0.25">
      <c r="A15" s="155"/>
      <c r="B15" s="50"/>
      <c r="C15" s="51"/>
      <c r="E15" s="22" t="s">
        <v>976</v>
      </c>
      <c r="F15" s="2">
        <v>30.41</v>
      </c>
      <c r="G15" s="2">
        <v>30.58</v>
      </c>
      <c r="H15" s="329">
        <v>200</v>
      </c>
      <c r="I15" s="48">
        <v>6116</v>
      </c>
      <c r="J15" s="365">
        <v>-34</v>
      </c>
      <c r="K15" s="353">
        <v>-5.559189012426362E-3</v>
      </c>
      <c r="L15" s="365">
        <v>-34</v>
      </c>
      <c r="M15" s="29">
        <v>43168</v>
      </c>
      <c r="N15" s="134"/>
      <c r="O15" s="788">
        <v>0</v>
      </c>
      <c r="P15" s="134">
        <v>-1.2999999999999999E-3</v>
      </c>
      <c r="Q15" s="148"/>
      <c r="R15" s="48"/>
      <c r="S15" s="48"/>
      <c r="T15" s="48"/>
    </row>
    <row r="16" spans="1:21" ht="21.95" customHeight="1" x14ac:dyDescent="0.25">
      <c r="A16" s="50"/>
      <c r="B16" s="50"/>
      <c r="C16" s="51"/>
      <c r="E16" s="22" t="s">
        <v>337</v>
      </c>
      <c r="F16" s="2">
        <v>18.72</v>
      </c>
      <c r="G16" s="2">
        <v>19.853333333333332</v>
      </c>
      <c r="H16" s="329">
        <v>300</v>
      </c>
      <c r="I16" s="48">
        <v>5955.9999999999991</v>
      </c>
      <c r="J16" s="365">
        <v>-340</v>
      </c>
      <c r="K16" s="353">
        <v>-5.7085292142377418E-2</v>
      </c>
      <c r="L16" s="365">
        <v>-55.029999999995198</v>
      </c>
      <c r="M16">
        <v>100</v>
      </c>
      <c r="N16" s="134"/>
      <c r="O16" s="788">
        <v>1.5384615384615384E-2</v>
      </c>
      <c r="P16" s="134">
        <v>-3.4099999999999998E-2</v>
      </c>
      <c r="R16" s="48"/>
      <c r="S16" s="48"/>
      <c r="T16" s="48"/>
    </row>
    <row r="17" spans="1:22" ht="21.95" customHeight="1" x14ac:dyDescent="0.25">
      <c r="A17" s="50"/>
      <c r="B17" s="50"/>
      <c r="C17" s="51"/>
      <c r="E17" s="22" t="s">
        <v>171</v>
      </c>
      <c r="F17" s="2">
        <v>50.55</v>
      </c>
      <c r="G17" s="2">
        <v>54.189600000000013</v>
      </c>
      <c r="H17" s="49">
        <v>100</v>
      </c>
      <c r="I17" s="48">
        <v>5418.9600000000009</v>
      </c>
      <c r="J17" s="365">
        <v>-363.95999999999913</v>
      </c>
      <c r="K17" s="353">
        <v>-6.7164179104477889E-2</v>
      </c>
      <c r="L17" s="365">
        <v>-314.00999999999931</v>
      </c>
      <c r="M17">
        <v>60</v>
      </c>
      <c r="N17" s="134"/>
      <c r="O17" s="788">
        <v>3.8773491592482695E-2</v>
      </c>
      <c r="P17" s="134">
        <v>-4.4999999999999997E-3</v>
      </c>
      <c r="Q17" s="148"/>
      <c r="R17" s="48"/>
      <c r="S17" s="48"/>
      <c r="T17" s="48"/>
    </row>
    <row r="18" spans="1:22" ht="21.95" customHeight="1" x14ac:dyDescent="0.25">
      <c r="A18" s="50"/>
      <c r="B18" s="50"/>
      <c r="C18" s="51"/>
      <c r="E18" s="22" t="s">
        <v>718</v>
      </c>
      <c r="F18" s="2">
        <v>114.25</v>
      </c>
      <c r="G18" s="2">
        <v>83.501000000000019</v>
      </c>
      <c r="H18" s="329">
        <v>60</v>
      </c>
      <c r="I18" s="48">
        <v>5010.0600000000013</v>
      </c>
      <c r="J18" s="365">
        <v>1844.9399999999987</v>
      </c>
      <c r="K18" s="353">
        <v>0.36824708686123486</v>
      </c>
      <c r="L18" s="365">
        <v>1844.9399999999987</v>
      </c>
      <c r="M18">
        <v>35</v>
      </c>
      <c r="N18" s="134"/>
      <c r="O18" s="788">
        <v>2.8E-3</v>
      </c>
      <c r="P18" s="134">
        <v>4.0500000000000001E-2</v>
      </c>
      <c r="Q18" s="148"/>
      <c r="R18" s="48"/>
      <c r="S18" s="48"/>
      <c r="T18" s="48"/>
    </row>
    <row r="19" spans="1:22" ht="21.95" customHeight="1" x14ac:dyDescent="0.25">
      <c r="A19" s="51"/>
      <c r="B19" s="51"/>
      <c r="C19" s="51"/>
      <c r="E19" s="22" t="s">
        <v>32</v>
      </c>
      <c r="F19" s="2">
        <v>53.9</v>
      </c>
      <c r="G19" s="2">
        <v>49.58</v>
      </c>
      <c r="H19" s="49">
        <v>100</v>
      </c>
      <c r="I19" s="48">
        <v>4958</v>
      </c>
      <c r="J19" s="365">
        <v>432</v>
      </c>
      <c r="K19" s="353">
        <v>8.7131908027430427E-2</v>
      </c>
      <c r="L19" s="365">
        <v>1630.4699999999971</v>
      </c>
      <c r="M19" s="29">
        <v>43171</v>
      </c>
      <c r="N19" s="134"/>
      <c r="O19" s="788">
        <v>1.7600000000000001E-2</v>
      </c>
      <c r="P19" s="134">
        <v>5.1999999999999998E-3</v>
      </c>
      <c r="S19" s="48"/>
      <c r="T19" s="48"/>
    </row>
    <row r="20" spans="1:22" ht="21.95" customHeight="1" x14ac:dyDescent="0.25">
      <c r="A20" s="50"/>
      <c r="B20" s="50"/>
      <c r="C20" s="51"/>
      <c r="E20" s="22" t="s">
        <v>975</v>
      </c>
      <c r="F20" s="2">
        <v>36.299999999999997</v>
      </c>
      <c r="G20" s="2">
        <v>36.58</v>
      </c>
      <c r="H20" s="49">
        <v>100</v>
      </c>
      <c r="I20" s="48">
        <v>3658</v>
      </c>
      <c r="J20" s="365">
        <v>-28.000000000000455</v>
      </c>
      <c r="K20" s="353">
        <v>-7.6544559868781071E-3</v>
      </c>
      <c r="L20" s="365">
        <v>-28.000000000000455</v>
      </c>
      <c r="M20" s="29">
        <v>43167</v>
      </c>
      <c r="N20" s="134"/>
      <c r="O20" s="788">
        <v>0</v>
      </c>
      <c r="P20" s="134">
        <v>-1.55E-2</v>
      </c>
      <c r="R20" s="48"/>
    </row>
    <row r="21" spans="1:22" ht="21.95" customHeight="1" x14ac:dyDescent="0.25">
      <c r="A21" s="50"/>
      <c r="B21" s="51"/>
      <c r="C21" s="51"/>
      <c r="E21" s="22" t="s">
        <v>55</v>
      </c>
      <c r="F21" s="2">
        <v>78.73</v>
      </c>
      <c r="G21" s="2">
        <v>71.650000000000006</v>
      </c>
      <c r="H21" s="49">
        <v>50</v>
      </c>
      <c r="I21" s="48">
        <v>3582.5000000000005</v>
      </c>
      <c r="J21" s="365">
        <v>353.99999999999955</v>
      </c>
      <c r="K21" s="353">
        <v>9.8813677599441693E-2</v>
      </c>
      <c r="L21" s="365">
        <v>1164.1299999999896</v>
      </c>
      <c r="M21">
        <v>50</v>
      </c>
      <c r="N21" s="134"/>
      <c r="O21" s="788">
        <v>2.6419408103645368E-2</v>
      </c>
      <c r="P21" s="134">
        <v>-2.0299999999999999E-2</v>
      </c>
      <c r="R21" s="48"/>
      <c r="S21" s="48"/>
    </row>
    <row r="22" spans="1:22" ht="21.95" customHeight="1" x14ac:dyDescent="0.25">
      <c r="A22" s="50"/>
      <c r="B22" s="50"/>
      <c r="C22" s="51"/>
      <c r="E22" s="22" t="s">
        <v>899</v>
      </c>
      <c r="F22" s="2">
        <v>95.57</v>
      </c>
      <c r="G22" s="2">
        <v>89.509999999999991</v>
      </c>
      <c r="H22" s="49">
        <v>40</v>
      </c>
      <c r="I22" s="48">
        <v>3580.3999999999996</v>
      </c>
      <c r="J22" s="365">
        <v>242.40000000000009</v>
      </c>
      <c r="K22" s="353">
        <v>6.7701932744944737E-2</v>
      </c>
      <c r="L22" s="48">
        <v>242.40000000000009</v>
      </c>
      <c r="M22">
        <v>40</v>
      </c>
      <c r="N22" s="134"/>
      <c r="O22" s="788">
        <v>2.3856858846918488E-2</v>
      </c>
      <c r="P22" s="134">
        <v>-1.72E-2</v>
      </c>
      <c r="Q22" s="148"/>
      <c r="R22" s="48"/>
      <c r="S22" s="48"/>
      <c r="T22" s="48"/>
    </row>
    <row r="23" spans="1:22" ht="21.95" customHeight="1" x14ac:dyDescent="0.25">
      <c r="A23" s="50"/>
      <c r="B23" s="50"/>
      <c r="C23" s="51"/>
      <c r="E23" s="22" t="s">
        <v>828</v>
      </c>
      <c r="F23" s="2">
        <v>14.11</v>
      </c>
      <c r="G23" s="2">
        <v>17.45</v>
      </c>
      <c r="H23" s="329">
        <v>200</v>
      </c>
      <c r="I23" s="48">
        <v>3490</v>
      </c>
      <c r="J23" s="365">
        <v>-668</v>
      </c>
      <c r="K23" s="353">
        <v>-0.19140401146131805</v>
      </c>
      <c r="L23" s="365">
        <v>-668</v>
      </c>
      <c r="M23">
        <v>200</v>
      </c>
      <c r="N23" s="134"/>
      <c r="O23" s="788">
        <v>3.4018426647767538E-2</v>
      </c>
      <c r="P23" s="134">
        <v>-2.69E-2</v>
      </c>
    </row>
    <row r="24" spans="1:22" ht="21.95" customHeight="1" x14ac:dyDescent="0.25">
      <c r="A24" s="51"/>
      <c r="B24" s="51"/>
      <c r="C24" s="51"/>
      <c r="E24" s="22" t="s">
        <v>997</v>
      </c>
      <c r="F24" s="2">
        <v>67.05</v>
      </c>
      <c r="G24" s="2">
        <v>68.22</v>
      </c>
      <c r="H24" s="49">
        <v>50</v>
      </c>
      <c r="I24" s="48">
        <v>3411</v>
      </c>
      <c r="J24" s="365">
        <v>-58.5</v>
      </c>
      <c r="K24" s="353">
        <v>-1.7150395778364143E-2</v>
      </c>
      <c r="L24" s="365">
        <v>-58.5</v>
      </c>
      <c r="M24" s="29">
        <v>43182</v>
      </c>
      <c r="N24" s="134"/>
      <c r="O24" s="788">
        <v>0</v>
      </c>
      <c r="P24" s="134">
        <v>-1.21E-2</v>
      </c>
      <c r="R24" s="48"/>
      <c r="S24" s="48"/>
    </row>
    <row r="25" spans="1:22" ht="21.95" customHeight="1" x14ac:dyDescent="0.25">
      <c r="A25" s="50"/>
      <c r="B25" s="50"/>
      <c r="C25" s="51"/>
      <c r="E25" s="22" t="s">
        <v>973</v>
      </c>
      <c r="F25" s="2">
        <v>142.58000000000001</v>
      </c>
      <c r="G25" s="2">
        <v>150</v>
      </c>
      <c r="H25" s="49">
        <v>20</v>
      </c>
      <c r="I25" s="48">
        <v>3000</v>
      </c>
      <c r="J25" s="365">
        <v>-148.39999999999964</v>
      </c>
      <c r="K25" s="353">
        <v>-4.9466666666666582E-2</v>
      </c>
      <c r="L25" s="48">
        <v>-148.39999999999964</v>
      </c>
      <c r="M25" s="29">
        <v>43164</v>
      </c>
      <c r="N25" s="134"/>
      <c r="O25" s="788">
        <v>0</v>
      </c>
      <c r="P25" s="134">
        <v>-2.0400000000000001E-2</v>
      </c>
      <c r="Q25" s="48"/>
      <c r="R25" s="48"/>
      <c r="S25" s="48"/>
      <c r="T25" s="48"/>
    </row>
    <row r="26" spans="1:22" ht="21.95" customHeight="1" x14ac:dyDescent="0.25">
      <c r="A26" s="50"/>
      <c r="B26" s="50"/>
      <c r="C26" s="51"/>
      <c r="E26" s="22" t="s">
        <v>720</v>
      </c>
      <c r="F26" s="2">
        <v>190.9</v>
      </c>
      <c r="G26" s="2">
        <v>149.05549999999999</v>
      </c>
      <c r="H26" s="329">
        <v>20</v>
      </c>
      <c r="I26" s="48">
        <v>2981.1099999999997</v>
      </c>
      <c r="J26" s="365">
        <v>836.89000000000033</v>
      </c>
      <c r="K26" s="353">
        <v>0.28073100288147712</v>
      </c>
      <c r="L26" s="365">
        <v>979.92000000000053</v>
      </c>
      <c r="M26">
        <v>20</v>
      </c>
      <c r="N26" s="134"/>
      <c r="O26" s="788">
        <v>2.6191723415400735E-3</v>
      </c>
      <c r="P26" s="134">
        <v>4.1999999999999997E-3</v>
      </c>
      <c r="R26" s="48"/>
      <c r="T26" s="48"/>
    </row>
    <row r="27" spans="1:22" ht="21.95" customHeight="1" x14ac:dyDescent="0.25">
      <c r="A27" s="50"/>
      <c r="B27" s="50"/>
      <c r="C27" s="51"/>
      <c r="E27" s="22" t="s">
        <v>977</v>
      </c>
      <c r="F27" s="2">
        <v>73.08</v>
      </c>
      <c r="G27" s="2">
        <v>67.58</v>
      </c>
      <c r="H27" s="49">
        <v>40</v>
      </c>
      <c r="I27" s="48">
        <v>2703.2</v>
      </c>
      <c r="J27" s="365">
        <v>220</v>
      </c>
      <c r="K27" s="353">
        <v>8.138502515537141E-2</v>
      </c>
      <c r="L27" s="365">
        <v>220</v>
      </c>
      <c r="M27" s="29">
        <v>43171</v>
      </c>
      <c r="N27" s="134"/>
      <c r="O27" s="788">
        <v>0</v>
      </c>
      <c r="P27" s="134">
        <v>-4.7999999999999996E-3</v>
      </c>
      <c r="Q27" s="148"/>
      <c r="R27" s="48"/>
      <c r="S27" s="48"/>
    </row>
    <row r="28" spans="1:22" ht="21.95" customHeight="1" x14ac:dyDescent="0.25">
      <c r="A28" s="51"/>
      <c r="B28" s="51"/>
      <c r="C28" s="51"/>
      <c r="E28" s="22" t="s">
        <v>871</v>
      </c>
      <c r="F28" s="2">
        <v>318.41000000000003</v>
      </c>
      <c r="G28" s="2">
        <v>251.2</v>
      </c>
      <c r="H28" s="329">
        <v>10</v>
      </c>
      <c r="I28" s="48">
        <v>2512</v>
      </c>
      <c r="J28" s="365">
        <v>672.10000000000036</v>
      </c>
      <c r="K28" s="353">
        <v>0.2675557324840766</v>
      </c>
      <c r="L28" s="365">
        <v>1129.0400000000004</v>
      </c>
      <c r="M28" s="29">
        <v>43171</v>
      </c>
      <c r="N28" s="134"/>
      <c r="O28" s="788">
        <v>0</v>
      </c>
      <c r="P28" s="134">
        <v>-2.3E-3</v>
      </c>
      <c r="Q28" s="48"/>
      <c r="R28" s="48"/>
      <c r="S28" s="48"/>
      <c r="T28" s="48"/>
      <c r="V28" s="48"/>
    </row>
    <row r="29" spans="1:22" ht="21.95" customHeight="1" x14ac:dyDescent="0.25">
      <c r="A29" s="50"/>
      <c r="B29" s="50"/>
      <c r="C29" s="51"/>
      <c r="E29" s="22" t="s">
        <v>876</v>
      </c>
      <c r="F29" s="2">
        <v>92.8</v>
      </c>
      <c r="G29" s="2">
        <v>81.441999999999993</v>
      </c>
      <c r="H29" s="329">
        <v>30</v>
      </c>
      <c r="I29" s="48">
        <v>2443.2599999999998</v>
      </c>
      <c r="J29" s="365">
        <v>340.74000000000024</v>
      </c>
      <c r="K29" s="353">
        <v>0.13946121165983161</v>
      </c>
      <c r="L29" s="365">
        <v>340.74000000000024</v>
      </c>
      <c r="M29">
        <v>30</v>
      </c>
      <c r="N29" s="134"/>
      <c r="O29" s="788">
        <v>7.3275862068965525E-3</v>
      </c>
      <c r="P29" s="134">
        <v>-1.8700000000000001E-2</v>
      </c>
      <c r="Q29" s="148"/>
      <c r="R29" s="48"/>
      <c r="S29" s="48"/>
      <c r="T29" s="48"/>
    </row>
    <row r="30" spans="1:22" ht="21.95" customHeight="1" x14ac:dyDescent="0.25">
      <c r="A30" s="50"/>
      <c r="B30" s="50"/>
      <c r="C30" s="51"/>
      <c r="E30" s="22" t="s">
        <v>62</v>
      </c>
      <c r="F30" s="2">
        <v>288.99</v>
      </c>
      <c r="G30" s="2">
        <v>288.99</v>
      </c>
      <c r="H30" s="329">
        <v>0</v>
      </c>
      <c r="I30" s="48">
        <v>0</v>
      </c>
      <c r="J30" s="365">
        <v>0</v>
      </c>
      <c r="K30" s="353">
        <v>0</v>
      </c>
      <c r="L30" s="365">
        <v>1659.3600000000079</v>
      </c>
      <c r="M30">
        <v>0</v>
      </c>
      <c r="N30" s="134"/>
      <c r="O30" s="788">
        <v>0</v>
      </c>
      <c r="P30" s="134">
        <v>-3.8E-3</v>
      </c>
      <c r="R30" s="48"/>
      <c r="S30" s="48"/>
      <c r="T30" s="48"/>
    </row>
    <row r="31" spans="1:22" ht="21.95" customHeight="1" x14ac:dyDescent="0.25">
      <c r="A31" s="50"/>
      <c r="B31" s="50"/>
      <c r="C31" s="51"/>
      <c r="E31" s="22" t="s">
        <v>204</v>
      </c>
      <c r="F31" s="2">
        <v>40.32</v>
      </c>
      <c r="G31" s="2">
        <v>40.32</v>
      </c>
      <c r="H31" s="329">
        <v>0</v>
      </c>
      <c r="I31" s="48">
        <v>0</v>
      </c>
      <c r="J31" s="365">
        <v>0</v>
      </c>
      <c r="K31" s="353">
        <v>0</v>
      </c>
      <c r="L31" s="365">
        <v>555.54</v>
      </c>
      <c r="M31">
        <v>0</v>
      </c>
      <c r="O31" s="788">
        <v>0</v>
      </c>
      <c r="P31" s="134">
        <v>-1.9199999999999998E-2</v>
      </c>
      <c r="S31" s="48"/>
      <c r="T31" s="48"/>
    </row>
    <row r="32" spans="1:22" ht="21.95" customHeight="1" x14ac:dyDescent="0.25">
      <c r="A32" s="50"/>
      <c r="B32" s="51"/>
      <c r="C32" s="51"/>
      <c r="E32" s="22" t="s">
        <v>203</v>
      </c>
      <c r="F32" s="2">
        <v>178.12</v>
      </c>
      <c r="G32" s="2">
        <v>178.12</v>
      </c>
      <c r="H32" s="329">
        <v>0</v>
      </c>
      <c r="I32" s="48">
        <v>0</v>
      </c>
      <c r="J32" s="365">
        <v>0</v>
      </c>
      <c r="K32" s="353">
        <v>0</v>
      </c>
      <c r="L32" s="365">
        <v>363.09999999999945</v>
      </c>
      <c r="M32">
        <v>0</v>
      </c>
      <c r="N32" s="134"/>
      <c r="O32" s="788">
        <v>1.5900000000000001E-2</v>
      </c>
      <c r="P32" s="134">
        <v>-1.5E-3</v>
      </c>
      <c r="Q32" s="148"/>
      <c r="R32" s="48"/>
      <c r="S32" s="48"/>
    </row>
    <row r="33" spans="1:22" ht="21.95" customHeight="1" x14ac:dyDescent="0.25">
      <c r="A33" s="50"/>
      <c r="B33" s="51"/>
      <c r="C33" s="51"/>
      <c r="E33" s="22" t="s">
        <v>226</v>
      </c>
      <c r="F33" s="2">
        <v>97.51</v>
      </c>
      <c r="G33" s="2">
        <v>97.51</v>
      </c>
      <c r="H33" s="329">
        <v>0</v>
      </c>
      <c r="I33" s="48">
        <v>0</v>
      </c>
      <c r="J33" s="365">
        <v>0</v>
      </c>
      <c r="K33" s="353">
        <v>0</v>
      </c>
      <c r="L33" s="365">
        <v>231.53999999999996</v>
      </c>
      <c r="M33">
        <v>0</v>
      </c>
      <c r="N33" s="134"/>
      <c r="O33" s="788">
        <v>1.6199999999999999E-2</v>
      </c>
      <c r="P33" s="134">
        <v>-2.0799999999999999E-2</v>
      </c>
    </row>
    <row r="34" spans="1:22" ht="21.95" customHeight="1" x14ac:dyDescent="0.25">
      <c r="A34" s="50"/>
      <c r="B34" s="50"/>
      <c r="C34" s="51"/>
      <c r="E34" s="22" t="s">
        <v>268</v>
      </c>
      <c r="F34" s="2">
        <v>94.59</v>
      </c>
      <c r="G34" s="2">
        <v>94.59</v>
      </c>
      <c r="H34" s="329">
        <v>0</v>
      </c>
      <c r="I34" s="48">
        <v>0</v>
      </c>
      <c r="J34" s="365">
        <v>0</v>
      </c>
      <c r="K34" s="353">
        <v>0</v>
      </c>
      <c r="L34" s="365">
        <v>1857.7799999999988</v>
      </c>
      <c r="M34">
        <v>0</v>
      </c>
      <c r="N34" s="134"/>
      <c r="O34" s="788">
        <v>1.49E-2</v>
      </c>
      <c r="P34" s="134">
        <v>-9.7000000000000003E-3</v>
      </c>
      <c r="R34" s="48"/>
      <c r="S34" s="48"/>
    </row>
    <row r="35" spans="1:22" ht="21.95" customHeight="1" x14ac:dyDescent="0.25">
      <c r="A35" s="51"/>
      <c r="B35" s="51"/>
      <c r="C35" s="51"/>
      <c r="E35" s="22" t="s">
        <v>23</v>
      </c>
      <c r="F35" s="2">
        <v>33.15</v>
      </c>
      <c r="G35" s="2">
        <v>33.15</v>
      </c>
      <c r="H35" s="329">
        <v>0</v>
      </c>
      <c r="I35" s="48">
        <v>0</v>
      </c>
      <c r="J35" s="365">
        <v>0</v>
      </c>
      <c r="K35" s="353">
        <v>0</v>
      </c>
      <c r="L35" s="365">
        <v>171.89999999999964</v>
      </c>
      <c r="M35">
        <v>0</v>
      </c>
      <c r="N35" s="134"/>
      <c r="O35" s="788">
        <v>0</v>
      </c>
      <c r="P35" s="134">
        <v>-1.4E-2</v>
      </c>
      <c r="R35" s="48"/>
      <c r="S35" s="48"/>
      <c r="T35" s="48"/>
      <c r="V35" s="48"/>
    </row>
    <row r="36" spans="1:22" ht="21.95" customHeight="1" x14ac:dyDescent="0.25">
      <c r="A36" s="50"/>
      <c r="B36" s="50"/>
      <c r="C36" s="51"/>
      <c r="E36" s="22" t="s">
        <v>269</v>
      </c>
      <c r="F36" s="2">
        <v>36.82</v>
      </c>
      <c r="G36" s="2">
        <v>36.82</v>
      </c>
      <c r="H36" s="329">
        <v>0</v>
      </c>
      <c r="I36" s="48">
        <v>0</v>
      </c>
      <c r="J36" s="365">
        <v>0</v>
      </c>
      <c r="K36" s="353">
        <v>0</v>
      </c>
      <c r="L36" s="365">
        <v>98.449999999999818</v>
      </c>
      <c r="M36">
        <v>0</v>
      </c>
      <c r="N36" s="134"/>
      <c r="O36" s="788">
        <v>1.11E-2</v>
      </c>
      <c r="P36" s="134">
        <v>-2.1499999999999998E-2</v>
      </c>
      <c r="T36" s="48"/>
    </row>
    <row r="37" spans="1:22" ht="21.95" customHeight="1" x14ac:dyDescent="0.25">
      <c r="A37" s="50"/>
      <c r="B37" s="50"/>
      <c r="C37" s="51"/>
      <c r="E37" s="22" t="s">
        <v>36</v>
      </c>
      <c r="F37" s="2">
        <v>57.84</v>
      </c>
      <c r="G37" s="2">
        <v>57.84</v>
      </c>
      <c r="H37" s="49">
        <v>0</v>
      </c>
      <c r="I37" s="48">
        <v>0</v>
      </c>
      <c r="J37" s="365">
        <v>0</v>
      </c>
      <c r="K37" s="353">
        <v>0</v>
      </c>
      <c r="L37" s="365">
        <v>117.73999999999978</v>
      </c>
      <c r="M37">
        <v>0</v>
      </c>
      <c r="N37" s="134"/>
      <c r="O37" s="788">
        <v>7.4000000000000003E-3</v>
      </c>
      <c r="P37" s="134">
        <v>-1.21E-2</v>
      </c>
      <c r="R37" s="48"/>
      <c r="S37" s="48"/>
      <c r="T37" s="48"/>
    </row>
    <row r="38" spans="1:22" ht="21.95" customHeight="1" x14ac:dyDescent="0.25">
      <c r="A38" s="50"/>
      <c r="B38" s="50"/>
      <c r="C38" s="51"/>
      <c r="E38" s="22" t="s">
        <v>320</v>
      </c>
      <c r="F38" s="2">
        <v>38.020000000000003</v>
      </c>
      <c r="G38" s="2">
        <v>38.020000000000003</v>
      </c>
      <c r="H38" s="329">
        <v>0</v>
      </c>
      <c r="I38" s="48">
        <v>0</v>
      </c>
      <c r="J38" s="365">
        <v>0</v>
      </c>
      <c r="K38" s="353">
        <v>0</v>
      </c>
      <c r="L38" s="365">
        <v>264.92000000000007</v>
      </c>
      <c r="M38">
        <v>0</v>
      </c>
      <c r="N38" s="134"/>
      <c r="O38" s="788">
        <v>3.4200000000000001E-2</v>
      </c>
      <c r="P38" s="134">
        <v>-3.3999999999999998E-3</v>
      </c>
      <c r="Q38" s="148"/>
      <c r="R38" s="48"/>
      <c r="S38" s="48"/>
      <c r="T38" s="48"/>
    </row>
    <row r="39" spans="1:22" ht="21.95" customHeight="1" x14ac:dyDescent="0.25">
      <c r="A39" s="50"/>
      <c r="B39" s="50"/>
      <c r="C39" s="51"/>
      <c r="E39" s="22" t="s">
        <v>303</v>
      </c>
      <c r="F39" s="2">
        <v>66.2</v>
      </c>
      <c r="G39" s="2">
        <v>66.2</v>
      </c>
      <c r="H39" s="49">
        <v>0</v>
      </c>
      <c r="I39" s="48">
        <v>0</v>
      </c>
      <c r="J39" s="365">
        <v>0</v>
      </c>
      <c r="K39" s="353">
        <v>0</v>
      </c>
      <c r="L39" s="48">
        <v>910.79999999999927</v>
      </c>
      <c r="M39">
        <v>0</v>
      </c>
      <c r="N39" s="134"/>
      <c r="O39" s="788">
        <v>2.87E-2</v>
      </c>
      <c r="P39" s="134">
        <v>-2.4199999999999999E-2</v>
      </c>
      <c r="S39" s="48"/>
      <c r="U39" s="48"/>
    </row>
    <row r="40" spans="1:22" ht="21.95" customHeight="1" x14ac:dyDescent="0.25">
      <c r="A40" s="50"/>
      <c r="B40" s="50"/>
      <c r="C40" s="51"/>
      <c r="E40" s="22" t="s">
        <v>734</v>
      </c>
      <c r="F40" s="2">
        <v>31.58</v>
      </c>
      <c r="G40" s="2">
        <v>31.58</v>
      </c>
      <c r="H40" s="329">
        <v>0</v>
      </c>
      <c r="I40" s="48">
        <v>0</v>
      </c>
      <c r="J40" s="365">
        <v>0</v>
      </c>
      <c r="K40" s="353">
        <v>0</v>
      </c>
      <c r="L40" s="365">
        <v>557.94000000000005</v>
      </c>
      <c r="M40">
        <v>0</v>
      </c>
      <c r="N40" s="134"/>
      <c r="O40" s="788">
        <v>4.0599999999999997E-2</v>
      </c>
      <c r="P40" s="134">
        <v>1.15E-2</v>
      </c>
      <c r="Q40" s="436"/>
      <c r="R40" s="48"/>
      <c r="S40" s="48"/>
    </row>
    <row r="41" spans="1:22" ht="21.95" customHeight="1" x14ac:dyDescent="0.25">
      <c r="A41" s="50"/>
      <c r="B41" s="50"/>
      <c r="C41" s="51"/>
      <c r="E41" s="22" t="s">
        <v>250</v>
      </c>
      <c r="F41" s="2">
        <v>67.459999999999994</v>
      </c>
      <c r="G41" s="2">
        <v>67.459999999999994</v>
      </c>
      <c r="H41" s="329">
        <v>0</v>
      </c>
      <c r="I41" s="48">
        <v>0</v>
      </c>
      <c r="J41" s="365">
        <v>0</v>
      </c>
      <c r="K41" s="353">
        <v>0</v>
      </c>
      <c r="L41" s="365">
        <v>329.74000000000069</v>
      </c>
      <c r="M41">
        <v>0</v>
      </c>
      <c r="N41" s="134"/>
      <c r="O41" s="788">
        <v>0</v>
      </c>
      <c r="P41" s="134">
        <v>-1.14E-2</v>
      </c>
      <c r="Q41" s="148"/>
      <c r="R41" s="48"/>
      <c r="S41" s="48"/>
      <c r="T41" s="48"/>
    </row>
    <row r="42" spans="1:22" ht="21.95" customHeight="1" x14ac:dyDescent="0.25">
      <c r="A42" s="50"/>
      <c r="B42" s="51"/>
      <c r="C42" s="51"/>
      <c r="E42" s="22" t="s">
        <v>711</v>
      </c>
      <c r="F42" s="2">
        <v>24.39</v>
      </c>
      <c r="G42" s="2">
        <v>24.39</v>
      </c>
      <c r="H42" s="329">
        <v>0</v>
      </c>
      <c r="I42" s="48">
        <v>0</v>
      </c>
      <c r="J42" s="365">
        <v>0</v>
      </c>
      <c r="K42" s="353">
        <v>0</v>
      </c>
      <c r="L42" s="365">
        <v>309.26000000000022</v>
      </c>
      <c r="M42">
        <v>0</v>
      </c>
      <c r="N42" s="134"/>
      <c r="O42" s="788">
        <v>8.8000000000000005E-3</v>
      </c>
      <c r="P42" s="134">
        <v>-1.41E-2</v>
      </c>
      <c r="R42" s="48"/>
      <c r="S42" s="48"/>
      <c r="T42" s="48"/>
    </row>
    <row r="43" spans="1:22" ht="21.95" customHeight="1" x14ac:dyDescent="0.25">
      <c r="A43" s="51"/>
      <c r="B43" s="51"/>
      <c r="C43" s="51"/>
      <c r="E43" s="22" t="s">
        <v>278</v>
      </c>
      <c r="F43" s="2">
        <v>67.73</v>
      </c>
      <c r="G43" s="2">
        <v>67.73</v>
      </c>
      <c r="H43" s="329">
        <v>0</v>
      </c>
      <c r="I43" s="48">
        <v>0</v>
      </c>
      <c r="J43" s="365">
        <v>0</v>
      </c>
      <c r="K43" s="353">
        <v>0</v>
      </c>
      <c r="L43" s="365">
        <v>197.20999999999549</v>
      </c>
      <c r="M43">
        <v>0</v>
      </c>
      <c r="N43" s="134"/>
      <c r="O43" s="788">
        <v>2.5499999999999998E-2</v>
      </c>
      <c r="P43" s="134">
        <v>-7.6E-3</v>
      </c>
      <c r="R43" s="48"/>
      <c r="S43" s="48"/>
    </row>
    <row r="44" spans="1:22" ht="21.95" customHeight="1" x14ac:dyDescent="0.25">
      <c r="A44" s="50"/>
      <c r="B44" s="50"/>
      <c r="C44" s="51"/>
      <c r="E44" s="22" t="s">
        <v>779</v>
      </c>
      <c r="F44" s="2">
        <v>209.13</v>
      </c>
      <c r="G44" s="2">
        <v>209.13</v>
      </c>
      <c r="H44" s="49">
        <v>0</v>
      </c>
      <c r="I44" s="48">
        <v>0</v>
      </c>
      <c r="J44" s="365">
        <v>0</v>
      </c>
      <c r="K44" s="353">
        <v>0</v>
      </c>
      <c r="L44" s="365">
        <v>843.18000000000029</v>
      </c>
      <c r="M44">
        <v>0</v>
      </c>
      <c r="N44" s="134"/>
      <c r="O44" s="788">
        <v>2.8E-3</v>
      </c>
      <c r="P44" s="134">
        <v>1.5E-3</v>
      </c>
      <c r="R44" s="48"/>
    </row>
    <row r="45" spans="1:22" ht="21.95" customHeight="1" x14ac:dyDescent="0.25">
      <c r="A45" s="50"/>
      <c r="B45" s="50"/>
      <c r="C45" s="51"/>
      <c r="E45" s="22" t="s">
        <v>197</v>
      </c>
      <c r="F45" s="2">
        <v>10.61</v>
      </c>
      <c r="G45" s="2">
        <v>10.61</v>
      </c>
      <c r="H45" s="329">
        <v>0</v>
      </c>
      <c r="I45" s="48">
        <v>0</v>
      </c>
      <c r="J45" s="365">
        <v>0</v>
      </c>
      <c r="K45" s="353">
        <v>0</v>
      </c>
      <c r="L45" s="365">
        <v>495.20999999999913</v>
      </c>
      <c r="M45">
        <v>0</v>
      </c>
      <c r="N45" s="134"/>
      <c r="O45" s="788">
        <v>5.1499999999999997E-2</v>
      </c>
      <c r="P45" s="134">
        <v>0</v>
      </c>
      <c r="Q45" s="436"/>
      <c r="R45" s="48"/>
      <c r="S45" s="48"/>
    </row>
    <row r="46" spans="1:22" ht="21.95" customHeight="1" x14ac:dyDescent="0.25">
      <c r="A46" s="51"/>
      <c r="B46" s="51"/>
      <c r="C46" s="51"/>
      <c r="E46" s="22" t="s">
        <v>272</v>
      </c>
      <c r="F46" s="2">
        <v>129.88</v>
      </c>
      <c r="G46" s="2">
        <v>129.88</v>
      </c>
      <c r="H46" s="329">
        <v>0</v>
      </c>
      <c r="I46" s="48">
        <v>0</v>
      </c>
      <c r="J46" s="365">
        <v>0</v>
      </c>
      <c r="K46" s="353">
        <v>0</v>
      </c>
      <c r="L46" s="365">
        <v>154.77999999999975</v>
      </c>
      <c r="M46">
        <v>0</v>
      </c>
      <c r="N46" s="134"/>
      <c r="O46" s="788">
        <v>2.5700000000000001E-2</v>
      </c>
      <c r="P46" s="134">
        <v>-1.34E-2</v>
      </c>
      <c r="R46" s="48"/>
      <c r="S46" s="48"/>
    </row>
    <row r="47" spans="1:22" ht="21.95" customHeight="1" x14ac:dyDescent="0.25">
      <c r="A47" s="50"/>
      <c r="B47" s="50"/>
      <c r="C47" s="51"/>
      <c r="E47" s="22" t="s">
        <v>17</v>
      </c>
      <c r="F47" s="2">
        <v>15.22</v>
      </c>
      <c r="G47" s="2">
        <v>15.22</v>
      </c>
      <c r="H47" s="49">
        <v>0</v>
      </c>
      <c r="I47" s="48">
        <v>0</v>
      </c>
      <c r="J47" s="365">
        <v>-20818.210000000079</v>
      </c>
      <c r="K47" s="353">
        <v>0</v>
      </c>
      <c r="L47" s="365">
        <v>-20818.210000000079</v>
      </c>
      <c r="M47">
        <v>0</v>
      </c>
      <c r="N47" s="134"/>
      <c r="O47" s="788">
        <v>0</v>
      </c>
      <c r="P47" s="134">
        <v>0</v>
      </c>
      <c r="Q47" s="148"/>
      <c r="R47" s="48"/>
      <c r="S47" s="48"/>
    </row>
    <row r="48" spans="1:22" ht="21.95" customHeight="1" x14ac:dyDescent="0.25">
      <c r="A48" s="50"/>
      <c r="B48" s="50"/>
      <c r="C48" s="51"/>
      <c r="E48" s="22" t="s">
        <v>312</v>
      </c>
      <c r="F48" s="2">
        <v>133.66999999999999</v>
      </c>
      <c r="G48" s="2">
        <v>133.66999999999999</v>
      </c>
      <c r="H48" s="329">
        <v>0</v>
      </c>
      <c r="I48" s="48">
        <v>0</v>
      </c>
      <c r="J48" s="365">
        <v>0</v>
      </c>
      <c r="K48" s="353">
        <v>0</v>
      </c>
      <c r="L48" s="365">
        <v>720.56000000000131</v>
      </c>
      <c r="M48">
        <v>0</v>
      </c>
      <c r="N48" s="134"/>
      <c r="O48" s="788">
        <v>0</v>
      </c>
      <c r="P48" s="134">
        <v>-1.15E-2</v>
      </c>
      <c r="Q48" s="48"/>
      <c r="R48" s="48"/>
      <c r="S48" s="48"/>
      <c r="T48" s="48"/>
    </row>
    <row r="49" spans="1:21" ht="21.95" customHeight="1" x14ac:dyDescent="0.25">
      <c r="A49" s="50"/>
      <c r="B49" s="50"/>
      <c r="C49" s="51"/>
      <c r="E49" s="22" t="s">
        <v>732</v>
      </c>
      <c r="F49" s="2">
        <v>82.68</v>
      </c>
      <c r="G49" s="2">
        <v>82.68</v>
      </c>
      <c r="H49" s="49">
        <v>0</v>
      </c>
      <c r="I49" s="48">
        <v>0</v>
      </c>
      <c r="J49" s="365">
        <v>0</v>
      </c>
      <c r="K49" s="353">
        <v>0</v>
      </c>
      <c r="L49" s="48">
        <v>329.55999999999949</v>
      </c>
      <c r="M49">
        <v>0</v>
      </c>
      <c r="N49" s="134"/>
      <c r="O49" s="788">
        <v>1.78E-2</v>
      </c>
      <c r="P49" s="134">
        <v>6.93E-2</v>
      </c>
    </row>
    <row r="50" spans="1:21" ht="21.95" customHeight="1" x14ac:dyDescent="0.25">
      <c r="A50" s="51"/>
      <c r="B50" s="51"/>
      <c r="C50" s="51"/>
      <c r="E50" s="22" t="s">
        <v>777</v>
      </c>
      <c r="F50" s="2">
        <v>664.72</v>
      </c>
      <c r="G50" s="2">
        <v>664.72</v>
      </c>
      <c r="H50" s="49">
        <v>0</v>
      </c>
      <c r="I50" s="48">
        <v>0</v>
      </c>
      <c r="J50" s="365">
        <v>0</v>
      </c>
      <c r="K50" s="353">
        <v>0</v>
      </c>
      <c r="L50" s="48">
        <v>559.89000000000033</v>
      </c>
      <c r="M50">
        <v>0</v>
      </c>
      <c r="N50" s="134"/>
      <c r="O50" s="788">
        <v>0</v>
      </c>
      <c r="P50" s="134">
        <v>1.5699999999999999E-2</v>
      </c>
      <c r="Q50" s="436"/>
      <c r="R50" s="48"/>
      <c r="S50" s="48"/>
      <c r="T50" s="48"/>
    </row>
    <row r="51" spans="1:21" ht="21.95" customHeight="1" x14ac:dyDescent="0.25">
      <c r="A51" s="51"/>
      <c r="B51" s="155"/>
      <c r="C51" s="330"/>
      <c r="E51" s="22" t="s">
        <v>195</v>
      </c>
      <c r="F51" s="2">
        <v>67.03</v>
      </c>
      <c r="G51" s="2">
        <v>67.03</v>
      </c>
      <c r="H51" s="329">
        <v>0</v>
      </c>
      <c r="I51" s="48">
        <v>0</v>
      </c>
      <c r="J51" s="365">
        <v>0</v>
      </c>
      <c r="K51" s="353">
        <v>0</v>
      </c>
      <c r="L51" s="365">
        <v>785.90999999999985</v>
      </c>
      <c r="M51">
        <v>0</v>
      </c>
      <c r="N51" s="134"/>
      <c r="O51" s="788">
        <v>1.29E-2</v>
      </c>
      <c r="P51" s="134">
        <v>-1.4999999999999999E-2</v>
      </c>
      <c r="R51" s="48"/>
      <c r="S51" s="48"/>
      <c r="T51" s="48"/>
    </row>
    <row r="52" spans="1:21" ht="21.95" customHeight="1" x14ac:dyDescent="0.25">
      <c r="A52" s="51"/>
      <c r="B52" s="155"/>
      <c r="C52" s="330"/>
      <c r="E52" s="22" t="s">
        <v>225</v>
      </c>
      <c r="F52" s="2">
        <v>58.64</v>
      </c>
      <c r="G52" s="2">
        <v>58.64</v>
      </c>
      <c r="H52" s="49">
        <v>0</v>
      </c>
      <c r="I52" s="48">
        <v>0</v>
      </c>
      <c r="J52" s="365">
        <v>0</v>
      </c>
      <c r="K52" s="353">
        <v>0</v>
      </c>
      <c r="L52" s="48">
        <v>257.64999999999964</v>
      </c>
      <c r="M52">
        <v>0</v>
      </c>
      <c r="N52" s="134"/>
      <c r="O52" s="788">
        <v>0</v>
      </c>
      <c r="P52" s="134">
        <v>-1.0999999999999999E-2</v>
      </c>
      <c r="Q52" s="148"/>
      <c r="R52" s="48"/>
    </row>
    <row r="53" spans="1:21" ht="21.95" customHeight="1" x14ac:dyDescent="0.25">
      <c r="A53" s="50"/>
      <c r="B53" s="50"/>
      <c r="C53" s="50"/>
      <c r="E53" s="22" t="s">
        <v>34</v>
      </c>
      <c r="F53" s="2">
        <v>48.81</v>
      </c>
      <c r="G53" s="2">
        <v>48.81</v>
      </c>
      <c r="H53" s="329">
        <v>0</v>
      </c>
      <c r="I53" s="48">
        <v>0</v>
      </c>
      <c r="J53" s="365">
        <v>0</v>
      </c>
      <c r="K53" s="353">
        <v>0</v>
      </c>
      <c r="L53" s="365">
        <v>21137.586999999941</v>
      </c>
      <c r="M53">
        <v>0</v>
      </c>
      <c r="N53" s="134"/>
      <c r="O53" s="788">
        <v>0</v>
      </c>
      <c r="P53" s="134">
        <v>4.7000000000000002E-3</v>
      </c>
      <c r="Q53" s="48"/>
      <c r="S53" s="48"/>
    </row>
    <row r="54" spans="1:21" ht="21.95" customHeight="1" x14ac:dyDescent="0.25">
      <c r="A54" s="50"/>
      <c r="B54" s="50"/>
      <c r="C54" s="51"/>
      <c r="E54" s="22" t="s">
        <v>172</v>
      </c>
      <c r="F54" s="2">
        <v>59.59</v>
      </c>
      <c r="G54" s="2">
        <v>59.59</v>
      </c>
      <c r="H54" s="329">
        <v>0</v>
      </c>
      <c r="I54" s="48">
        <v>0</v>
      </c>
      <c r="J54" s="365">
        <v>0</v>
      </c>
      <c r="K54" s="353">
        <v>0</v>
      </c>
      <c r="L54" s="365">
        <v>119.92000000000053</v>
      </c>
      <c r="M54">
        <v>0</v>
      </c>
      <c r="N54" s="134"/>
      <c r="O54" s="788">
        <v>3.6400000000000002E-2</v>
      </c>
      <c r="P54" s="134">
        <v>-9.4999999999999998E-3</v>
      </c>
      <c r="R54" s="48"/>
      <c r="S54" s="48"/>
      <c r="T54" s="48"/>
    </row>
    <row r="55" spans="1:21" ht="21.95" customHeight="1" x14ac:dyDescent="0.25">
      <c r="A55" s="155"/>
      <c r="B55" s="50"/>
      <c r="C55" s="51"/>
      <c r="E55" s="22" t="s">
        <v>27</v>
      </c>
      <c r="F55" s="2">
        <v>49.29</v>
      </c>
      <c r="G55" s="2">
        <v>49.29</v>
      </c>
      <c r="H55" s="329">
        <v>0</v>
      </c>
      <c r="I55" s="48">
        <v>0</v>
      </c>
      <c r="J55" s="365">
        <v>0</v>
      </c>
      <c r="K55" s="353">
        <v>0</v>
      </c>
      <c r="L55" s="365">
        <v>1407.5400000000009</v>
      </c>
      <c r="M55">
        <v>0</v>
      </c>
      <c r="N55" s="134"/>
      <c r="O55" s="788">
        <v>3.0200000000000001E-2</v>
      </c>
      <c r="P55" s="134">
        <v>-1.24E-2</v>
      </c>
      <c r="Q55" s="148"/>
      <c r="R55" s="48"/>
      <c r="S55" s="48"/>
      <c r="T55" s="48"/>
    </row>
    <row r="56" spans="1:21" ht="21.95" customHeight="1" x14ac:dyDescent="0.25">
      <c r="A56" s="50"/>
      <c r="B56" s="50"/>
      <c r="C56" s="51"/>
      <c r="E56" s="22" t="s">
        <v>22</v>
      </c>
      <c r="F56" s="2">
        <v>45.42</v>
      </c>
      <c r="G56" s="2">
        <v>45.42</v>
      </c>
      <c r="H56" s="49">
        <v>0</v>
      </c>
      <c r="I56" s="48">
        <v>0</v>
      </c>
      <c r="J56" s="365">
        <v>0</v>
      </c>
      <c r="K56" s="353">
        <v>0</v>
      </c>
      <c r="L56" s="365">
        <v>3178.8000000000466</v>
      </c>
      <c r="M56">
        <v>0</v>
      </c>
      <c r="N56" s="134"/>
      <c r="O56" s="788">
        <v>2.07E-2</v>
      </c>
      <c r="P56" s="134">
        <v>-2.2599999999999999E-2</v>
      </c>
      <c r="Q56" s="48"/>
      <c r="R56" s="48"/>
      <c r="S56" s="48"/>
      <c r="T56" s="48"/>
    </row>
    <row r="57" spans="1:21" ht="21.95" customHeight="1" x14ac:dyDescent="0.25">
      <c r="A57" s="50"/>
      <c r="B57" s="50"/>
      <c r="C57" s="51"/>
      <c r="E57" s="22" t="s">
        <v>42</v>
      </c>
      <c r="F57" s="2">
        <v>130.25</v>
      </c>
      <c r="G57" s="2">
        <v>130.25</v>
      </c>
      <c r="H57" s="329">
        <v>0</v>
      </c>
      <c r="I57" s="48">
        <v>0</v>
      </c>
      <c r="J57" s="365">
        <v>0</v>
      </c>
      <c r="K57" s="353">
        <v>0</v>
      </c>
      <c r="L57" s="365">
        <v>128.08999999999833</v>
      </c>
      <c r="M57">
        <v>0</v>
      </c>
      <c r="N57" s="134"/>
      <c r="O57" s="788">
        <v>2.18E-2</v>
      </c>
      <c r="P57" s="134">
        <v>-2.6200000000000001E-2</v>
      </c>
      <c r="Q57" s="148"/>
      <c r="S57" s="48"/>
    </row>
    <row r="58" spans="1:21" ht="21.95" customHeight="1" x14ac:dyDescent="0.25">
      <c r="A58" s="51"/>
      <c r="B58" s="51"/>
      <c r="C58" s="51"/>
      <c r="E58" s="22" t="s">
        <v>270</v>
      </c>
      <c r="F58" s="2">
        <v>56.9</v>
      </c>
      <c r="G58" s="2">
        <v>56.9</v>
      </c>
      <c r="H58" s="49">
        <v>0</v>
      </c>
      <c r="I58" s="48">
        <v>0</v>
      </c>
      <c r="J58" s="365">
        <v>0</v>
      </c>
      <c r="K58" s="353">
        <v>0</v>
      </c>
      <c r="L58" s="48">
        <v>427.92000000000007</v>
      </c>
      <c r="M58">
        <v>0</v>
      </c>
      <c r="N58" s="134"/>
      <c r="O58" s="788">
        <v>0</v>
      </c>
      <c r="P58" s="134">
        <v>1.14E-2</v>
      </c>
      <c r="R58" s="48"/>
      <c r="S58" s="48"/>
      <c r="T58" s="48"/>
    </row>
    <row r="59" spans="1:21" ht="21.95" customHeight="1" x14ac:dyDescent="0.25">
      <c r="A59" s="51"/>
      <c r="B59" s="50"/>
      <c r="C59" s="51"/>
      <c r="E59" s="22" t="s">
        <v>170</v>
      </c>
      <c r="F59" s="2">
        <v>109.25</v>
      </c>
      <c r="G59" s="2">
        <v>109.25</v>
      </c>
      <c r="H59" s="329">
        <v>0</v>
      </c>
      <c r="I59" s="48">
        <v>0</v>
      </c>
      <c r="J59" s="365">
        <v>0</v>
      </c>
      <c r="K59" s="353">
        <v>0</v>
      </c>
      <c r="L59" s="365">
        <v>1368.9000000000015</v>
      </c>
      <c r="M59">
        <v>0</v>
      </c>
      <c r="N59" s="134"/>
      <c r="O59" s="788">
        <v>1.14E-2</v>
      </c>
      <c r="P59" s="134">
        <v>-9.4999999999999998E-3</v>
      </c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8</v>
      </c>
      <c r="F60" s="2">
        <v>77.37</v>
      </c>
      <c r="G60" s="2">
        <v>77.37</v>
      </c>
      <c r="H60" s="329">
        <v>0</v>
      </c>
      <c r="I60" s="48">
        <v>0</v>
      </c>
      <c r="J60" s="365">
        <v>0</v>
      </c>
      <c r="K60" s="353">
        <v>0</v>
      </c>
      <c r="L60" s="365">
        <v>121.94999999999982</v>
      </c>
      <c r="M60">
        <v>0</v>
      </c>
      <c r="N60" s="134"/>
      <c r="O60" s="788">
        <v>1.67E-2</v>
      </c>
      <c r="P60" s="134">
        <v>-2.5000000000000001E-2</v>
      </c>
      <c r="Q60" s="48"/>
      <c r="R60" s="48"/>
      <c r="S60" s="48"/>
      <c r="U60" s="48"/>
    </row>
    <row r="61" spans="1:21" ht="21.95" customHeight="1" x14ac:dyDescent="0.25">
      <c r="A61" s="50"/>
      <c r="B61" s="50"/>
      <c r="C61" s="51"/>
      <c r="E61" s="22" t="s">
        <v>10</v>
      </c>
      <c r="F61" s="2">
        <v>44.97</v>
      </c>
      <c r="G61" s="2">
        <v>44.97</v>
      </c>
      <c r="H61" s="49">
        <v>0</v>
      </c>
      <c r="I61" s="48">
        <v>0</v>
      </c>
      <c r="J61" s="365">
        <v>0</v>
      </c>
      <c r="K61" s="353">
        <v>0</v>
      </c>
      <c r="L61" s="48">
        <v>1128.3800000000047</v>
      </c>
      <c r="M61">
        <v>0</v>
      </c>
      <c r="N61" s="134"/>
      <c r="O61" s="788">
        <v>1.2500000000000001E-2</v>
      </c>
      <c r="P61" s="134">
        <v>-2.7E-2</v>
      </c>
      <c r="R61" s="48"/>
    </row>
    <row r="62" spans="1:21" ht="21.95" customHeight="1" x14ac:dyDescent="0.25">
      <c r="A62" s="51"/>
      <c r="B62" s="51"/>
      <c r="C62" s="51"/>
      <c r="E62" s="22" t="s">
        <v>224</v>
      </c>
      <c r="F62" s="2">
        <v>41.24</v>
      </c>
      <c r="G62" s="2">
        <v>41.24</v>
      </c>
      <c r="H62" s="49">
        <v>0</v>
      </c>
      <c r="I62" s="48">
        <v>0</v>
      </c>
      <c r="J62" s="365">
        <v>0</v>
      </c>
      <c r="K62" s="353">
        <v>0</v>
      </c>
      <c r="L62" s="48">
        <v>4376.9599999999991</v>
      </c>
      <c r="M62">
        <v>0</v>
      </c>
      <c r="O62" s="788">
        <v>4.0899999999999999E-2</v>
      </c>
      <c r="P62" s="134">
        <v>-1.2699999999999999E-2</v>
      </c>
      <c r="S62" s="48"/>
      <c r="T62" s="48"/>
    </row>
    <row r="63" spans="1:21" ht="21.95" customHeight="1" x14ac:dyDescent="0.25">
      <c r="A63" s="51"/>
      <c r="B63" s="51"/>
      <c r="C63" s="51"/>
      <c r="E63" s="22" t="s">
        <v>350</v>
      </c>
      <c r="F63" s="2">
        <v>75.41</v>
      </c>
      <c r="G63" s="2">
        <v>75.41</v>
      </c>
      <c r="H63" s="329">
        <v>0</v>
      </c>
      <c r="I63" s="48">
        <v>0</v>
      </c>
      <c r="J63" s="365">
        <v>0</v>
      </c>
      <c r="K63" s="353">
        <v>0</v>
      </c>
      <c r="L63" s="365">
        <v>2060.4300000000003</v>
      </c>
      <c r="M63">
        <v>0</v>
      </c>
      <c r="N63" s="134"/>
      <c r="O63" s="788">
        <v>4.3499999999999997E-2</v>
      </c>
      <c r="P63" s="134">
        <v>-2.8E-3</v>
      </c>
      <c r="S63" s="48"/>
    </row>
    <row r="64" spans="1:21" ht="21.95" customHeight="1" x14ac:dyDescent="0.25">
      <c r="A64" s="51"/>
      <c r="B64" s="51"/>
      <c r="C64" s="51"/>
      <c r="E64" s="22" t="s">
        <v>24</v>
      </c>
      <c r="F64" s="2">
        <v>62.93</v>
      </c>
      <c r="G64" s="2">
        <v>62.93</v>
      </c>
      <c r="H64" s="329">
        <v>0</v>
      </c>
      <c r="I64" s="48">
        <v>0</v>
      </c>
      <c r="J64" s="365">
        <v>0</v>
      </c>
      <c r="K64" s="353">
        <v>0</v>
      </c>
      <c r="L64" s="365">
        <v>937.36999999999534</v>
      </c>
      <c r="M64">
        <v>0</v>
      </c>
      <c r="N64" s="134"/>
      <c r="O64" s="788">
        <v>0</v>
      </c>
      <c r="P64" s="134">
        <v>-1.0999999999999999E-2</v>
      </c>
      <c r="R64" s="48"/>
      <c r="S64" s="48"/>
      <c r="T64" s="48"/>
    </row>
    <row r="65" spans="1:21" ht="21.95" customHeight="1" x14ac:dyDescent="0.25">
      <c r="A65" s="50"/>
      <c r="B65" s="51"/>
      <c r="C65" s="51"/>
      <c r="E65" s="22" t="s">
        <v>45</v>
      </c>
      <c r="F65" s="2">
        <v>92.26</v>
      </c>
      <c r="G65" s="2">
        <v>92.26</v>
      </c>
      <c r="H65" s="329">
        <v>0</v>
      </c>
      <c r="I65" s="48">
        <v>0</v>
      </c>
      <c r="J65" s="365">
        <v>0</v>
      </c>
      <c r="K65" s="353">
        <v>0</v>
      </c>
      <c r="L65" s="365">
        <v>523.61999999999898</v>
      </c>
      <c r="M65">
        <v>0</v>
      </c>
      <c r="N65" s="134"/>
      <c r="O65" s="788">
        <v>1.67E-2</v>
      </c>
      <c r="P65" s="134">
        <v>-1.8599999999999998E-2</v>
      </c>
      <c r="R65" s="48"/>
      <c r="S65" s="48"/>
      <c r="T65" s="48"/>
    </row>
    <row r="66" spans="1:21" ht="21.95" customHeight="1" x14ac:dyDescent="0.25">
      <c r="A66" s="50"/>
      <c r="B66" s="50"/>
      <c r="C66" s="51"/>
      <c r="E66" s="22" t="s">
        <v>47</v>
      </c>
      <c r="F66" s="48">
        <v>139.08000000000001</v>
      </c>
      <c r="G66" s="2">
        <v>139.08000000000001</v>
      </c>
      <c r="H66" s="49">
        <v>0</v>
      </c>
      <c r="I66" s="48">
        <v>0</v>
      </c>
      <c r="J66" s="365">
        <v>0</v>
      </c>
      <c r="K66" s="353">
        <v>0</v>
      </c>
      <c r="L66" s="365">
        <v>-168.6200000000008</v>
      </c>
      <c r="M66">
        <v>0</v>
      </c>
      <c r="N66" s="134"/>
      <c r="O66" s="788">
        <v>2.18E-2</v>
      </c>
      <c r="P66" s="134">
        <v>-2.6499999999999999E-2</v>
      </c>
      <c r="R66" s="48"/>
      <c r="S66" s="48"/>
    </row>
    <row r="67" spans="1:21" ht="21.95" customHeight="1" x14ac:dyDescent="0.25">
      <c r="A67" s="50"/>
      <c r="B67" s="51"/>
      <c r="C67" s="51"/>
      <c r="E67" s="22" t="s">
        <v>33</v>
      </c>
      <c r="F67" s="2">
        <v>246.46</v>
      </c>
      <c r="G67" s="2">
        <v>246.46</v>
      </c>
      <c r="H67" s="329">
        <v>0</v>
      </c>
      <c r="I67" s="48">
        <v>0</v>
      </c>
      <c r="J67" s="365">
        <v>0</v>
      </c>
      <c r="K67" s="353">
        <v>0</v>
      </c>
      <c r="L67" s="365">
        <v>780.73999999999796</v>
      </c>
      <c r="M67">
        <v>0</v>
      </c>
      <c r="N67" s="134"/>
      <c r="O67" s="788">
        <v>1.8599999999999998E-2</v>
      </c>
      <c r="P67" s="134">
        <v>-2.12E-2</v>
      </c>
      <c r="Q67" s="148"/>
      <c r="R67" s="48"/>
      <c r="S67" s="48"/>
      <c r="T67" s="48"/>
      <c r="U67" s="48"/>
    </row>
    <row r="68" spans="1:21" ht="21.95" customHeight="1" x14ac:dyDescent="0.25">
      <c r="A68" s="51"/>
      <c r="B68" s="50"/>
      <c r="C68" s="51"/>
      <c r="E68" s="22" t="s">
        <v>13</v>
      </c>
      <c r="F68" s="2">
        <v>67.790000000000006</v>
      </c>
      <c r="G68" s="2">
        <v>67.790000000000006</v>
      </c>
      <c r="H68" s="49">
        <v>0</v>
      </c>
      <c r="I68" s="48">
        <v>0</v>
      </c>
      <c r="J68" s="365">
        <v>0</v>
      </c>
      <c r="K68" s="353">
        <v>0</v>
      </c>
      <c r="L68" s="48">
        <v>1461.5600000000013</v>
      </c>
      <c r="M68">
        <v>0</v>
      </c>
      <c r="N68" s="134"/>
      <c r="O68" s="788">
        <v>0</v>
      </c>
      <c r="P68" s="134">
        <v>-1.1999999999999999E-3</v>
      </c>
      <c r="Q68" s="436"/>
      <c r="R68" s="48"/>
      <c r="S68" s="48"/>
    </row>
    <row r="69" spans="1:21" ht="21.95" customHeight="1" x14ac:dyDescent="0.25">
      <c r="A69" s="50"/>
      <c r="B69" s="50"/>
      <c r="C69" s="50"/>
      <c r="E69" s="22" t="s">
        <v>52</v>
      </c>
      <c r="F69" s="2">
        <v>69.209999999999994</v>
      </c>
      <c r="G69" s="2">
        <v>69.209999999999994</v>
      </c>
      <c r="H69" s="49">
        <v>0</v>
      </c>
      <c r="I69" s="48">
        <v>0</v>
      </c>
      <c r="J69" s="365">
        <v>0</v>
      </c>
      <c r="K69" s="353">
        <v>0</v>
      </c>
      <c r="L69" s="48">
        <v>1056.739999999998</v>
      </c>
      <c r="M69">
        <v>0</v>
      </c>
      <c r="N69" s="134"/>
      <c r="O69" s="788">
        <v>2.1999999999999999E-2</v>
      </c>
      <c r="P69" s="134">
        <v>-1.1900000000000001E-2</v>
      </c>
      <c r="S69" s="48"/>
    </row>
    <row r="70" spans="1:21" ht="21.95" customHeight="1" x14ac:dyDescent="0.25">
      <c r="A70" s="50"/>
      <c r="B70" s="50"/>
      <c r="C70" s="51"/>
      <c r="E70" s="22" t="s">
        <v>63</v>
      </c>
      <c r="F70" s="2">
        <v>103.16</v>
      </c>
      <c r="G70" s="2">
        <v>103.16</v>
      </c>
      <c r="H70" s="49">
        <v>0</v>
      </c>
      <c r="I70" s="48">
        <v>0</v>
      </c>
      <c r="J70" s="365">
        <v>0</v>
      </c>
      <c r="K70" s="353">
        <v>0</v>
      </c>
      <c r="L70" s="365">
        <v>257.30999999999949</v>
      </c>
      <c r="M70">
        <v>0</v>
      </c>
      <c r="N70" s="134"/>
      <c r="O70" s="788">
        <v>1.38E-2</v>
      </c>
      <c r="P70" s="134">
        <v>-1.6299999999999999E-2</v>
      </c>
    </row>
    <row r="71" spans="1:21" ht="21.95" customHeight="1" x14ac:dyDescent="0.25">
      <c r="A71" s="50"/>
      <c r="B71" s="50"/>
      <c r="C71" s="51"/>
      <c r="E71" s="22" t="s">
        <v>9</v>
      </c>
      <c r="F71" s="2">
        <v>7.03</v>
      </c>
      <c r="G71" s="2">
        <v>7.03</v>
      </c>
      <c r="H71" s="49">
        <v>0</v>
      </c>
      <c r="I71" s="48">
        <v>0</v>
      </c>
      <c r="J71" s="365">
        <v>-8332.1133333333346</v>
      </c>
      <c r="K71" s="353">
        <v>0</v>
      </c>
      <c r="L71" s="365">
        <v>-7897.1833333333343</v>
      </c>
      <c r="M71">
        <v>0</v>
      </c>
      <c r="O71" s="788">
        <v>0.04</v>
      </c>
      <c r="P71" s="134">
        <v>-0.2392</v>
      </c>
      <c r="Q71" s="148"/>
      <c r="R71" s="48"/>
      <c r="S71" s="48"/>
      <c r="T71" s="48"/>
    </row>
    <row r="72" spans="1:21" ht="21.95" customHeight="1" x14ac:dyDescent="0.25">
      <c r="A72" s="50"/>
      <c r="B72" s="51"/>
      <c r="C72" s="51"/>
      <c r="E72" s="22" t="s">
        <v>53</v>
      </c>
      <c r="F72" s="2">
        <v>70.83</v>
      </c>
      <c r="G72" s="2">
        <v>70.83</v>
      </c>
      <c r="H72" s="49">
        <v>0</v>
      </c>
      <c r="I72" s="48">
        <v>0</v>
      </c>
      <c r="J72" s="365">
        <v>0</v>
      </c>
      <c r="K72" s="353">
        <v>0</v>
      </c>
      <c r="L72" s="365">
        <v>33.940000000000055</v>
      </c>
      <c r="M72">
        <v>0</v>
      </c>
      <c r="N72" s="134"/>
      <c r="O72" s="788">
        <v>7.4000000000000003E-3</v>
      </c>
      <c r="P72" s="134">
        <v>-1.09E-2</v>
      </c>
      <c r="S72" s="48"/>
    </row>
    <row r="73" spans="1:21" ht="21.95" customHeight="1" x14ac:dyDescent="0.25">
      <c r="A73" s="50"/>
      <c r="B73" s="50"/>
      <c r="C73" s="50"/>
      <c r="E73" s="22" t="s">
        <v>56</v>
      </c>
      <c r="F73" s="2">
        <v>39.35</v>
      </c>
      <c r="G73" s="2">
        <v>39.35</v>
      </c>
      <c r="H73" s="329">
        <v>0</v>
      </c>
      <c r="I73" s="48">
        <v>0</v>
      </c>
      <c r="J73" s="365">
        <v>0</v>
      </c>
      <c r="K73" s="353">
        <v>0</v>
      </c>
      <c r="L73" s="365">
        <v>36.819999999999709</v>
      </c>
      <c r="M73">
        <v>0</v>
      </c>
      <c r="O73" s="788">
        <v>4.2999999999999997E-2</v>
      </c>
      <c r="P73" s="134">
        <v>-2.0400000000000001E-2</v>
      </c>
    </row>
    <row r="74" spans="1:21" ht="21.95" customHeight="1" x14ac:dyDescent="0.25">
      <c r="A74" s="50"/>
      <c r="B74" s="50"/>
      <c r="C74" s="51"/>
      <c r="E74" s="22" t="s">
        <v>0</v>
      </c>
      <c r="F74" s="2">
        <v>208.58</v>
      </c>
      <c r="G74" s="2">
        <v>208.58</v>
      </c>
      <c r="H74" s="329">
        <v>0</v>
      </c>
      <c r="I74" s="48">
        <v>0</v>
      </c>
      <c r="J74" s="365">
        <v>0</v>
      </c>
      <c r="K74" s="353">
        <v>0</v>
      </c>
      <c r="L74" s="365">
        <v>465.57999999999993</v>
      </c>
      <c r="M74">
        <v>0</v>
      </c>
      <c r="N74" s="134"/>
      <c r="O74" s="788">
        <v>3.8999999999999998E-3</v>
      </c>
      <c r="P74" s="134">
        <v>-1.0200000000000001E-2</v>
      </c>
    </row>
    <row r="75" spans="1:21" ht="21.95" customHeight="1" x14ac:dyDescent="0.25">
      <c r="A75" s="50"/>
      <c r="B75" s="51"/>
      <c r="C75" s="51"/>
      <c r="E75" s="22" t="s">
        <v>39</v>
      </c>
      <c r="F75" s="2">
        <v>43.8</v>
      </c>
      <c r="G75" s="2">
        <v>43.8</v>
      </c>
      <c r="H75" s="329">
        <v>0</v>
      </c>
      <c r="I75" s="48">
        <v>0</v>
      </c>
      <c r="J75" s="365">
        <v>0</v>
      </c>
      <c r="K75" s="353">
        <v>0</v>
      </c>
      <c r="L75" s="365">
        <v>529.88000000000284</v>
      </c>
      <c r="M75">
        <v>0</v>
      </c>
      <c r="O75" s="788">
        <v>2.3E-2</v>
      </c>
      <c r="P75" s="134">
        <v>-2.9899999999999999E-2</v>
      </c>
    </row>
    <row r="76" spans="1:21" ht="21.95" customHeight="1" x14ac:dyDescent="0.25">
      <c r="A76" s="50"/>
      <c r="B76" s="50"/>
      <c r="C76" s="51"/>
      <c r="E76" s="22" t="s">
        <v>54</v>
      </c>
      <c r="F76" s="2">
        <v>134.74</v>
      </c>
      <c r="G76" s="2">
        <v>134.74</v>
      </c>
      <c r="H76" s="329">
        <v>0</v>
      </c>
      <c r="I76" s="48">
        <v>0</v>
      </c>
      <c r="J76" s="365">
        <v>0</v>
      </c>
      <c r="K76" s="353">
        <v>0</v>
      </c>
      <c r="L76" s="365">
        <v>114.84999999999991</v>
      </c>
      <c r="M76">
        <v>0</v>
      </c>
      <c r="N76" s="134"/>
      <c r="O76" s="788">
        <v>2.35E-2</v>
      </c>
      <c r="P76" s="134">
        <v>6.3E-3</v>
      </c>
    </row>
    <row r="77" spans="1:21" ht="21.95" customHeight="1" x14ac:dyDescent="0.25">
      <c r="A77" s="50"/>
      <c r="B77" s="50"/>
      <c r="C77" s="51"/>
      <c r="E77" s="22" t="s">
        <v>51</v>
      </c>
      <c r="F77" s="2">
        <v>226.16</v>
      </c>
      <c r="G77" s="2">
        <v>226.16</v>
      </c>
      <c r="H77" s="329">
        <v>0</v>
      </c>
      <c r="I77" s="48">
        <v>0</v>
      </c>
      <c r="J77" s="365">
        <v>0</v>
      </c>
      <c r="K77" s="353">
        <v>0</v>
      </c>
      <c r="L77" s="365">
        <v>176.70000000000073</v>
      </c>
      <c r="M77">
        <v>0</v>
      </c>
      <c r="N77" s="134"/>
      <c r="O77" s="788">
        <v>1.52E-2</v>
      </c>
      <c r="P77" s="134">
        <v>-2.7099999999999999E-2</v>
      </c>
    </row>
    <row r="78" spans="1:21" ht="21.95" customHeight="1" x14ac:dyDescent="0.25">
      <c r="A78" s="50"/>
      <c r="B78" s="51"/>
      <c r="C78" s="51"/>
      <c r="E78" s="22"/>
      <c r="F78" s="2"/>
      <c r="G78" s="2"/>
      <c r="H78" s="329"/>
      <c r="J78" s="365"/>
      <c r="K78" s="353"/>
      <c r="L78" s="365"/>
      <c r="O78" s="788"/>
    </row>
    <row r="79" spans="1:21" ht="21.95" customHeight="1" x14ac:dyDescent="0.25">
      <c r="F79" s="2"/>
      <c r="G79" s="2"/>
    </row>
    <row r="80" spans="1:21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9:O1048576">
    <cfRule type="expression" dxfId="443" priority="387">
      <formula>$O1=0</formula>
    </cfRule>
    <cfRule type="dataBar" priority="7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442" priority="343">
      <formula>$H2=0</formula>
    </cfRule>
  </conditionalFormatting>
  <conditionalFormatting sqref="J2:K4 J70:K71 J6:K6 J21:K58 J12:K19 J79:K200">
    <cfRule type="expression" dxfId="441" priority="344">
      <formula>$J2=0</formula>
    </cfRule>
  </conditionalFormatting>
  <conditionalFormatting sqref="L70:L71 L1:L6 L79:L1048576 L8:L58">
    <cfRule type="expression" dxfId="440" priority="342">
      <formula>$L2=0</formula>
    </cfRule>
  </conditionalFormatting>
  <conditionalFormatting sqref="M1">
    <cfRule type="expression" dxfId="439" priority="338">
      <formula>$L2=0</formula>
    </cfRule>
  </conditionalFormatting>
  <conditionalFormatting sqref="J2:K4 J6:K6 J21:K58 J12:K19">
    <cfRule type="expression" dxfId="438" priority="386">
      <formula>$J2&gt;0</formula>
    </cfRule>
  </conditionalFormatting>
  <conditionalFormatting sqref="L2:L6 L8:L58">
    <cfRule type="expression" dxfId="437" priority="340">
      <formula>$L2&lt;0</formula>
    </cfRule>
    <cfRule type="expression" dxfId="436" priority="341">
      <formula>$L2&gt;0</formula>
    </cfRule>
  </conditionalFormatting>
  <conditionalFormatting sqref="J2:K4 J70:K71 J6:K6 J21:K58 J12:K19 J79:K458">
    <cfRule type="expression" dxfId="435" priority="385">
      <formula>$J2&lt;0</formula>
    </cfRule>
  </conditionalFormatting>
  <conditionalFormatting sqref="E59 H59:I59">
    <cfRule type="expression" dxfId="434" priority="314">
      <formula>$H59=0</formula>
    </cfRule>
  </conditionalFormatting>
  <conditionalFormatting sqref="J59:K59">
    <cfRule type="expression" dxfId="433" priority="315">
      <formula>$J59=0</formula>
    </cfRule>
  </conditionalFormatting>
  <conditionalFormatting sqref="L59">
    <cfRule type="expression" dxfId="432" priority="313">
      <formula>$L60=0</formula>
    </cfRule>
  </conditionalFormatting>
  <conditionalFormatting sqref="J59:K59">
    <cfRule type="expression" dxfId="431" priority="317">
      <formula>$J59&gt;0</formula>
    </cfRule>
  </conditionalFormatting>
  <conditionalFormatting sqref="L59">
    <cfRule type="expression" dxfId="430" priority="311">
      <formula>$L59&lt;0</formula>
    </cfRule>
    <cfRule type="expression" dxfId="429" priority="312">
      <formula>$L59&gt;0</formula>
    </cfRule>
  </conditionalFormatting>
  <conditionalFormatting sqref="J59:K59">
    <cfRule type="expression" dxfId="428" priority="316">
      <formula>$J59&lt;0</formula>
    </cfRule>
  </conditionalFormatting>
  <conditionalFormatting sqref="E5 H5:I5">
    <cfRule type="expression" dxfId="427" priority="292">
      <formula>$H5=0</formula>
    </cfRule>
  </conditionalFormatting>
  <conditionalFormatting sqref="J5:K5">
    <cfRule type="expression" dxfId="426" priority="293">
      <formula>$J5=0</formula>
    </cfRule>
  </conditionalFormatting>
  <conditionalFormatting sqref="J5:K5">
    <cfRule type="expression" dxfId="425" priority="295">
      <formula>$J5&gt;0</formula>
    </cfRule>
  </conditionalFormatting>
  <conditionalFormatting sqref="J5:K5">
    <cfRule type="expression" dxfId="424" priority="294">
      <formula>$J5&lt;0</formula>
    </cfRule>
  </conditionalFormatting>
  <conditionalFormatting sqref="E60 H60:I60">
    <cfRule type="expression" dxfId="423" priority="270">
      <formula>$H60=0</formula>
    </cfRule>
  </conditionalFormatting>
  <conditionalFormatting sqref="J60:K60">
    <cfRule type="expression" dxfId="422" priority="271">
      <formula>$J60=0</formula>
    </cfRule>
  </conditionalFormatting>
  <conditionalFormatting sqref="L60">
    <cfRule type="expression" dxfId="421" priority="269">
      <formula>$L61=0</formula>
    </cfRule>
  </conditionalFormatting>
  <conditionalFormatting sqref="J60:K60">
    <cfRule type="expression" dxfId="420" priority="273">
      <formula>$J60&gt;0</formula>
    </cfRule>
  </conditionalFormatting>
  <conditionalFormatting sqref="L60">
    <cfRule type="expression" dxfId="419" priority="267">
      <formula>$L60&lt;0</formula>
    </cfRule>
    <cfRule type="expression" dxfId="418" priority="268">
      <formula>$L60&gt;0</formula>
    </cfRule>
  </conditionalFormatting>
  <conditionalFormatting sqref="J60:K60">
    <cfRule type="expression" dxfId="417" priority="272">
      <formula>$J60&lt;0</formula>
    </cfRule>
  </conditionalFormatting>
  <conditionalFormatting sqref="E62 H62:I62">
    <cfRule type="expression" dxfId="416" priority="259">
      <formula>$H62=0</formula>
    </cfRule>
  </conditionalFormatting>
  <conditionalFormatting sqref="J62:K62">
    <cfRule type="expression" dxfId="415" priority="260">
      <formula>$J62=0</formula>
    </cfRule>
  </conditionalFormatting>
  <conditionalFormatting sqref="L62">
    <cfRule type="expression" dxfId="414" priority="258">
      <formula>$L63=0</formula>
    </cfRule>
  </conditionalFormatting>
  <conditionalFormatting sqref="J62:K62">
    <cfRule type="expression" dxfId="413" priority="262">
      <formula>$J62&gt;0</formula>
    </cfRule>
  </conditionalFormatting>
  <conditionalFormatting sqref="L62">
    <cfRule type="expression" dxfId="412" priority="256">
      <formula>$L62&lt;0</formula>
    </cfRule>
    <cfRule type="expression" dxfId="411" priority="257">
      <formula>$L62&gt;0</formula>
    </cfRule>
  </conditionalFormatting>
  <conditionalFormatting sqref="J62:K62">
    <cfRule type="expression" dxfId="410" priority="261">
      <formula>$J62&lt;0</formula>
    </cfRule>
  </conditionalFormatting>
  <conditionalFormatting sqref="E61 H61:I61">
    <cfRule type="expression" dxfId="409" priority="248">
      <formula>$H61=0</formula>
    </cfRule>
  </conditionalFormatting>
  <conditionalFormatting sqref="J61:K61">
    <cfRule type="expression" dxfId="408" priority="249">
      <formula>$J61=0</formula>
    </cfRule>
  </conditionalFormatting>
  <conditionalFormatting sqref="L61">
    <cfRule type="expression" dxfId="407" priority="247">
      <formula>$L62=0</formula>
    </cfRule>
  </conditionalFormatting>
  <conditionalFormatting sqref="J61:K61">
    <cfRule type="expression" dxfId="406" priority="251">
      <formula>$J61&gt;0</formula>
    </cfRule>
  </conditionalFormatting>
  <conditionalFormatting sqref="L61">
    <cfRule type="expression" dxfId="405" priority="245">
      <formula>$L61&lt;0</formula>
    </cfRule>
    <cfRule type="expression" dxfId="404" priority="246">
      <formula>$L61&gt;0</formula>
    </cfRule>
  </conditionalFormatting>
  <conditionalFormatting sqref="J61:K61">
    <cfRule type="expression" dxfId="403" priority="250">
      <formula>$J61&lt;0</formula>
    </cfRule>
  </conditionalFormatting>
  <conditionalFormatting sqref="E8 H8:I8">
    <cfRule type="expression" dxfId="402" priority="233">
      <formula>$H8=0</formula>
    </cfRule>
  </conditionalFormatting>
  <conditionalFormatting sqref="J8:K8">
    <cfRule type="expression" dxfId="401" priority="234">
      <formula>$J8=0</formula>
    </cfRule>
  </conditionalFormatting>
  <conditionalFormatting sqref="J8:K8">
    <cfRule type="expression" dxfId="400" priority="236">
      <formula>$J8&gt;0</formula>
    </cfRule>
  </conditionalFormatting>
  <conditionalFormatting sqref="J8:K8">
    <cfRule type="expression" dxfId="399" priority="235">
      <formula>$J8&lt;0</formula>
    </cfRule>
  </conditionalFormatting>
  <conditionalFormatting sqref="E63 H63:I63">
    <cfRule type="expression" dxfId="398" priority="223">
      <formula>$H63=0</formula>
    </cfRule>
  </conditionalFormatting>
  <conditionalFormatting sqref="J63:K63">
    <cfRule type="expression" dxfId="397" priority="224">
      <formula>$J63=0</formula>
    </cfRule>
  </conditionalFormatting>
  <conditionalFormatting sqref="L63">
    <cfRule type="expression" dxfId="396" priority="222">
      <formula>$L64=0</formula>
    </cfRule>
  </conditionalFormatting>
  <conditionalFormatting sqref="J63:K63">
    <cfRule type="expression" dxfId="395" priority="226">
      <formula>$J63&gt;0</formula>
    </cfRule>
  </conditionalFormatting>
  <conditionalFormatting sqref="L63">
    <cfRule type="expression" dxfId="394" priority="220">
      <formula>$L63&lt;0</formula>
    </cfRule>
    <cfRule type="expression" dxfId="393" priority="221">
      <formula>$L63&gt;0</formula>
    </cfRule>
  </conditionalFormatting>
  <conditionalFormatting sqref="J63:K63">
    <cfRule type="expression" dxfId="392" priority="225">
      <formula>$J63&lt;0</formula>
    </cfRule>
  </conditionalFormatting>
  <conditionalFormatting sqref="E20 H20:I20">
    <cfRule type="expression" dxfId="391" priority="213">
      <formula>$H20=0</formula>
    </cfRule>
  </conditionalFormatting>
  <conditionalFormatting sqref="J20:K20">
    <cfRule type="expression" dxfId="390" priority="214">
      <formula>$J20=0</formula>
    </cfRule>
  </conditionalFormatting>
  <conditionalFormatting sqref="J20:K20">
    <cfRule type="expression" dxfId="389" priority="216">
      <formula>$J20&gt;0</formula>
    </cfRule>
  </conditionalFormatting>
  <conditionalFormatting sqref="J20:K20">
    <cfRule type="expression" dxfId="388" priority="215">
      <formula>$J20&lt;0</formula>
    </cfRule>
  </conditionalFormatting>
  <conditionalFormatting sqref="E64 H64:I64">
    <cfRule type="expression" dxfId="387" priority="204">
      <formula>$H64=0</formula>
    </cfRule>
  </conditionalFormatting>
  <conditionalFormatting sqref="J64:K64">
    <cfRule type="expression" dxfId="386" priority="205">
      <formula>$J64=0</formula>
    </cfRule>
  </conditionalFormatting>
  <conditionalFormatting sqref="L64">
    <cfRule type="expression" dxfId="385" priority="203">
      <formula>$L65=0</formula>
    </cfRule>
  </conditionalFormatting>
  <conditionalFormatting sqref="J64:K64">
    <cfRule type="expression" dxfId="384" priority="207">
      <formula>$J64&gt;0</formula>
    </cfRule>
  </conditionalFormatting>
  <conditionalFormatting sqref="L64">
    <cfRule type="expression" dxfId="383" priority="201">
      <formula>$L64&lt;0</formula>
    </cfRule>
    <cfRule type="expression" dxfId="382" priority="202">
      <formula>$L64&gt;0</formula>
    </cfRule>
  </conditionalFormatting>
  <conditionalFormatting sqref="J64:K64">
    <cfRule type="expression" dxfId="381" priority="206">
      <formula>$J64&lt;0</formula>
    </cfRule>
  </conditionalFormatting>
  <conditionalFormatting sqref="E65 H65:I65">
    <cfRule type="expression" dxfId="380" priority="197">
      <formula>$H65=0</formula>
    </cfRule>
  </conditionalFormatting>
  <conditionalFormatting sqref="J65:K65">
    <cfRule type="expression" dxfId="379" priority="198">
      <formula>$J65=0</formula>
    </cfRule>
  </conditionalFormatting>
  <conditionalFormatting sqref="L65">
    <cfRule type="expression" dxfId="378" priority="196">
      <formula>$L66=0</formula>
    </cfRule>
  </conditionalFormatting>
  <conditionalFormatting sqref="J65:K65">
    <cfRule type="expression" dxfId="377" priority="200">
      <formula>$J65&gt;0</formula>
    </cfRule>
  </conditionalFormatting>
  <conditionalFormatting sqref="L65">
    <cfRule type="expression" dxfId="376" priority="194">
      <formula>$L65&lt;0</formula>
    </cfRule>
    <cfRule type="expression" dxfId="375" priority="195">
      <formula>$L65&gt;0</formula>
    </cfRule>
  </conditionalFormatting>
  <conditionalFormatting sqref="J65:K65">
    <cfRule type="expression" dxfId="374" priority="199">
      <formula>$J65&lt;0</formula>
    </cfRule>
  </conditionalFormatting>
  <conditionalFormatting sqref="E11 H11:I11">
    <cfRule type="expression" dxfId="373" priority="188">
      <formula>$H11=0</formula>
    </cfRule>
  </conditionalFormatting>
  <conditionalFormatting sqref="J11:K11">
    <cfRule type="expression" dxfId="372" priority="189">
      <formula>$J11=0</formula>
    </cfRule>
  </conditionalFormatting>
  <conditionalFormatting sqref="J11:K11">
    <cfRule type="expression" dxfId="371" priority="191">
      <formula>$J11&gt;0</formula>
    </cfRule>
  </conditionalFormatting>
  <conditionalFormatting sqref="J11:K11">
    <cfRule type="expression" dxfId="370" priority="190">
      <formula>$J11&lt;0</formula>
    </cfRule>
  </conditionalFormatting>
  <conditionalFormatting sqref="E9 H9:I9">
    <cfRule type="expression" dxfId="369" priority="181">
      <formula>$H9=0</formula>
    </cfRule>
  </conditionalFormatting>
  <conditionalFormatting sqref="J9:K9">
    <cfRule type="expression" dxfId="368" priority="182">
      <formula>$J9=0</formula>
    </cfRule>
  </conditionalFormatting>
  <conditionalFormatting sqref="J9:K9">
    <cfRule type="expression" dxfId="367" priority="184">
      <formula>$J9&gt;0</formula>
    </cfRule>
  </conditionalFormatting>
  <conditionalFormatting sqref="J9:K9">
    <cfRule type="expression" dxfId="366" priority="183">
      <formula>$J9&lt;0</formula>
    </cfRule>
  </conditionalFormatting>
  <conditionalFormatting sqref="E66 H66:I66">
    <cfRule type="expression" dxfId="365" priority="172">
      <formula>$H66=0</formula>
    </cfRule>
  </conditionalFormatting>
  <conditionalFormatting sqref="J66:K66">
    <cfRule type="expression" dxfId="364" priority="173">
      <formula>$J66=0</formula>
    </cfRule>
  </conditionalFormatting>
  <conditionalFormatting sqref="L66">
    <cfRule type="expression" dxfId="363" priority="171">
      <formula>$L67=0</formula>
    </cfRule>
  </conditionalFormatting>
  <conditionalFormatting sqref="J66:K66">
    <cfRule type="expression" dxfId="362" priority="175">
      <formula>$J66&gt;0</formula>
    </cfRule>
  </conditionalFormatting>
  <conditionalFormatting sqref="L66">
    <cfRule type="expression" dxfId="361" priority="169">
      <formula>$L66&lt;0</formula>
    </cfRule>
    <cfRule type="expression" dxfId="360" priority="170">
      <formula>$L66&gt;0</formula>
    </cfRule>
  </conditionalFormatting>
  <conditionalFormatting sqref="J66:K66">
    <cfRule type="expression" dxfId="359" priority="174">
      <formula>$J66&lt;0</formula>
    </cfRule>
  </conditionalFormatting>
  <conditionalFormatting sqref="O2:O6 O8:O66">
    <cfRule type="dataBar" priority="16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358" priority="163">
      <formula>$H10=0</formula>
    </cfRule>
  </conditionalFormatting>
  <conditionalFormatting sqref="J10:K10">
    <cfRule type="expression" dxfId="357" priority="164">
      <formula>$J10=0</formula>
    </cfRule>
  </conditionalFormatting>
  <conditionalFormatting sqref="J10:K10">
    <cfRule type="expression" dxfId="356" priority="166">
      <formula>$J10&gt;0</formula>
    </cfRule>
  </conditionalFormatting>
  <conditionalFormatting sqref="J10:K10">
    <cfRule type="expression" dxfId="355" priority="165">
      <formula>$J10&lt;0</formula>
    </cfRule>
  </conditionalFormatting>
  <conditionalFormatting sqref="E26:E28 E30 E45:E49 E36:E43">
    <cfRule type="expression" dxfId="354" priority="159">
      <formula>$H26=0</formula>
    </cfRule>
  </conditionalFormatting>
  <conditionalFormatting sqref="E29">
    <cfRule type="expression" dxfId="353" priority="158">
      <formula>$H29=0</formula>
    </cfRule>
  </conditionalFormatting>
  <conditionalFormatting sqref="E31">
    <cfRule type="expression" dxfId="352" priority="157">
      <formula>$H31=0</formula>
    </cfRule>
  </conditionalFormatting>
  <conditionalFormatting sqref="E32">
    <cfRule type="expression" dxfId="351" priority="156">
      <formula>$H32=0</formula>
    </cfRule>
  </conditionalFormatting>
  <conditionalFormatting sqref="E44">
    <cfRule type="expression" dxfId="350" priority="155">
      <formula>$H44=0</formula>
    </cfRule>
  </conditionalFormatting>
  <conditionalFormatting sqref="E35">
    <cfRule type="expression" dxfId="349" priority="154">
      <formula>$H35=0</formula>
    </cfRule>
  </conditionalFormatting>
  <conditionalFormatting sqref="E33">
    <cfRule type="expression" dxfId="348" priority="153">
      <formula>$H33=0</formula>
    </cfRule>
  </conditionalFormatting>
  <conditionalFormatting sqref="E34">
    <cfRule type="expression" dxfId="347" priority="152">
      <formula>$H34=0</formula>
    </cfRule>
  </conditionalFormatting>
  <conditionalFormatting sqref="E67 H67:I67">
    <cfRule type="expression" dxfId="346" priority="148">
      <formula>$H67=0</formula>
    </cfRule>
  </conditionalFormatting>
  <conditionalFormatting sqref="J67:K67">
    <cfRule type="expression" dxfId="345" priority="149">
      <formula>$J67=0</formula>
    </cfRule>
  </conditionalFormatting>
  <conditionalFormatting sqref="L67">
    <cfRule type="expression" dxfId="344" priority="147">
      <formula>$L68=0</formula>
    </cfRule>
  </conditionalFormatting>
  <conditionalFormatting sqref="J67:K67">
    <cfRule type="expression" dxfId="343" priority="151">
      <formula>$J67&gt;0</formula>
    </cfRule>
  </conditionalFormatting>
  <conditionalFormatting sqref="L67">
    <cfRule type="expression" dxfId="342" priority="145">
      <formula>$L67&lt;0</formula>
    </cfRule>
    <cfRule type="expression" dxfId="341" priority="146">
      <formula>$L67&gt;0</formula>
    </cfRule>
  </conditionalFormatting>
  <conditionalFormatting sqref="J67:K67">
    <cfRule type="expression" dxfId="340" priority="150">
      <formula>$J67&lt;0</formula>
    </cfRule>
  </conditionalFormatting>
  <conditionalFormatting sqref="E69 H69:I69">
    <cfRule type="expression" dxfId="339" priority="141">
      <formula>$H69=0</formula>
    </cfRule>
  </conditionalFormatting>
  <conditionalFormatting sqref="J69:K69">
    <cfRule type="expression" dxfId="338" priority="142">
      <formula>$J69=0</formula>
    </cfRule>
  </conditionalFormatting>
  <conditionalFormatting sqref="L69">
    <cfRule type="expression" dxfId="337" priority="140">
      <formula>$L70=0</formula>
    </cfRule>
  </conditionalFormatting>
  <conditionalFormatting sqref="J69:K69">
    <cfRule type="expression" dxfId="336" priority="144">
      <formula>$J69&gt;0</formula>
    </cfRule>
  </conditionalFormatting>
  <conditionalFormatting sqref="L69">
    <cfRule type="expression" dxfId="335" priority="138">
      <formula>$L69&lt;0</formula>
    </cfRule>
    <cfRule type="expression" dxfId="334" priority="139">
      <formula>$L69&gt;0</formula>
    </cfRule>
  </conditionalFormatting>
  <conditionalFormatting sqref="J69:K69">
    <cfRule type="expression" dxfId="333" priority="143">
      <formula>$J69&lt;0</formula>
    </cfRule>
  </conditionalFormatting>
  <conditionalFormatting sqref="E68 H68:I68">
    <cfRule type="expression" dxfId="332" priority="134">
      <formula>$H68=0</formula>
    </cfRule>
  </conditionalFormatting>
  <conditionalFormatting sqref="J68:K68">
    <cfRule type="expression" dxfId="331" priority="135">
      <formula>$J68=0</formula>
    </cfRule>
  </conditionalFormatting>
  <conditionalFormatting sqref="L68">
    <cfRule type="expression" dxfId="330" priority="133">
      <formula>$L69=0</formula>
    </cfRule>
  </conditionalFormatting>
  <conditionalFormatting sqref="J68:K68">
    <cfRule type="expression" dxfId="329" priority="137">
      <formula>$J68&gt;0</formula>
    </cfRule>
  </conditionalFormatting>
  <conditionalFormatting sqref="L68">
    <cfRule type="expression" dxfId="328" priority="131">
      <formula>$L68&lt;0</formula>
    </cfRule>
    <cfRule type="expression" dxfId="327" priority="132">
      <formula>$L68&gt;0</formula>
    </cfRule>
  </conditionalFormatting>
  <conditionalFormatting sqref="J68:K68">
    <cfRule type="expression" dxfId="326" priority="136">
      <formula>$J68&lt;0</formula>
    </cfRule>
  </conditionalFormatting>
  <conditionalFormatting sqref="O67:O71">
    <cfRule type="dataBar" priority="1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325" priority="126">
      <formula>$H69=0</formula>
    </cfRule>
  </conditionalFormatting>
  <conditionalFormatting sqref="J69:K69">
    <cfRule type="expression" dxfId="324" priority="127">
      <formula>$J69=0</formula>
    </cfRule>
  </conditionalFormatting>
  <conditionalFormatting sqref="L69">
    <cfRule type="expression" dxfId="323" priority="125">
      <formula>$L70=0</formula>
    </cfRule>
  </conditionalFormatting>
  <conditionalFormatting sqref="J69:K69">
    <cfRule type="expression" dxfId="322" priority="129">
      <formula>$J69&gt;0</formula>
    </cfRule>
  </conditionalFormatting>
  <conditionalFormatting sqref="L69">
    <cfRule type="expression" dxfId="321" priority="123">
      <formula>$L69&lt;0</formula>
    </cfRule>
    <cfRule type="expression" dxfId="320" priority="124">
      <formula>$L69&gt;0</formula>
    </cfRule>
  </conditionalFormatting>
  <conditionalFormatting sqref="J69:K69">
    <cfRule type="expression" dxfId="319" priority="128">
      <formula>$J69&lt;0</formula>
    </cfRule>
  </conditionalFormatting>
  <conditionalFormatting sqref="E71 H71:I71">
    <cfRule type="expression" dxfId="318" priority="119">
      <formula>$H71=0</formula>
    </cfRule>
  </conditionalFormatting>
  <conditionalFormatting sqref="J71:K71">
    <cfRule type="expression" dxfId="317" priority="120">
      <formula>$J71=0</formula>
    </cfRule>
  </conditionalFormatting>
  <conditionalFormatting sqref="L71">
    <cfRule type="expression" dxfId="316" priority="118">
      <formula>$L72=0</formula>
    </cfRule>
  </conditionalFormatting>
  <conditionalFormatting sqref="J71:K71">
    <cfRule type="expression" dxfId="315" priority="122">
      <formula>$J71&gt;0</formula>
    </cfRule>
  </conditionalFormatting>
  <conditionalFormatting sqref="L71">
    <cfRule type="expression" dxfId="314" priority="116">
      <formula>$L71&lt;0</formula>
    </cfRule>
    <cfRule type="expression" dxfId="313" priority="117">
      <formula>$L71&gt;0</formula>
    </cfRule>
  </conditionalFormatting>
  <conditionalFormatting sqref="J71:K71">
    <cfRule type="expression" dxfId="312" priority="121">
      <formula>$J71&lt;0</formula>
    </cfRule>
  </conditionalFormatting>
  <conditionalFormatting sqref="E70 H70:I70">
    <cfRule type="expression" dxfId="311" priority="112">
      <formula>$H70=0</formula>
    </cfRule>
  </conditionalFormatting>
  <conditionalFormatting sqref="J70:K70">
    <cfRule type="expression" dxfId="310" priority="113">
      <formula>$J70=0</formula>
    </cfRule>
  </conditionalFormatting>
  <conditionalFormatting sqref="L70">
    <cfRule type="expression" dxfId="309" priority="111">
      <formula>$L71=0</formula>
    </cfRule>
  </conditionalFormatting>
  <conditionalFormatting sqref="J70:K70">
    <cfRule type="expression" dxfId="308" priority="115">
      <formula>$J70&gt;0</formula>
    </cfRule>
  </conditionalFormatting>
  <conditionalFormatting sqref="L70">
    <cfRule type="expression" dxfId="307" priority="109">
      <formula>$L70&lt;0</formula>
    </cfRule>
    <cfRule type="expression" dxfId="306" priority="110">
      <formula>$L70&gt;0</formula>
    </cfRule>
  </conditionalFormatting>
  <conditionalFormatting sqref="J70:K70">
    <cfRule type="expression" dxfId="305" priority="114">
      <formula>$J70&lt;0</formula>
    </cfRule>
  </conditionalFormatting>
  <conditionalFormatting sqref="O73:O74">
    <cfRule type="expression" dxfId="304" priority="103">
      <formula>$O73=0</formula>
    </cfRule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303" priority="101">
      <formula>$J73=0</formula>
    </cfRule>
  </conditionalFormatting>
  <conditionalFormatting sqref="L73:L74">
    <cfRule type="expression" dxfId="302" priority="100">
      <formula>$L74=0</formula>
    </cfRule>
  </conditionalFormatting>
  <conditionalFormatting sqref="J73:K74">
    <cfRule type="expression" dxfId="301" priority="102">
      <formula>$J73&lt;0</formula>
    </cfRule>
  </conditionalFormatting>
  <conditionalFormatting sqref="E72 H72:I72">
    <cfRule type="expression" dxfId="300" priority="96">
      <formula>$H72=0</formula>
    </cfRule>
  </conditionalFormatting>
  <conditionalFormatting sqref="J72:K72">
    <cfRule type="expression" dxfId="299" priority="97">
      <formula>$J72=0</formula>
    </cfRule>
  </conditionalFormatting>
  <conditionalFormatting sqref="L72">
    <cfRule type="expression" dxfId="298" priority="95">
      <formula>$L73=0</formula>
    </cfRule>
  </conditionalFormatting>
  <conditionalFormatting sqref="J72:K72">
    <cfRule type="expression" dxfId="297" priority="99">
      <formula>$J72&gt;0</formula>
    </cfRule>
  </conditionalFormatting>
  <conditionalFormatting sqref="L72">
    <cfRule type="expression" dxfId="296" priority="93">
      <formula>$L72&lt;0</formula>
    </cfRule>
    <cfRule type="expression" dxfId="295" priority="94">
      <formula>$L72&gt;0</formula>
    </cfRule>
  </conditionalFormatting>
  <conditionalFormatting sqref="J72:K72">
    <cfRule type="expression" dxfId="294" priority="98">
      <formula>$J72&lt;0</formula>
    </cfRule>
  </conditionalFormatting>
  <conditionalFormatting sqref="O72:O74">
    <cfRule type="dataBar" priority="9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93" priority="88">
      <formula>$H72=0</formula>
    </cfRule>
  </conditionalFormatting>
  <conditionalFormatting sqref="J72:K72">
    <cfRule type="expression" dxfId="292" priority="89">
      <formula>$J72=0</formula>
    </cfRule>
  </conditionalFormatting>
  <conditionalFormatting sqref="L72">
    <cfRule type="expression" dxfId="291" priority="87">
      <formula>$L73=0</formula>
    </cfRule>
  </conditionalFormatting>
  <conditionalFormatting sqref="J72:K72">
    <cfRule type="expression" dxfId="290" priority="91">
      <formula>$J72&gt;0</formula>
    </cfRule>
  </conditionalFormatting>
  <conditionalFormatting sqref="L72">
    <cfRule type="expression" dxfId="289" priority="85">
      <formula>$L72&lt;0</formula>
    </cfRule>
    <cfRule type="expression" dxfId="288" priority="86">
      <formula>$L72&gt;0</formula>
    </cfRule>
  </conditionalFormatting>
  <conditionalFormatting sqref="J72:K72">
    <cfRule type="expression" dxfId="287" priority="90">
      <formula>$J72&lt;0</formula>
    </cfRule>
  </conditionalFormatting>
  <conditionalFormatting sqref="E74 H74:I74">
    <cfRule type="expression" dxfId="286" priority="81">
      <formula>$H74=0</formula>
    </cfRule>
  </conditionalFormatting>
  <conditionalFormatting sqref="J74:K74">
    <cfRule type="expression" dxfId="285" priority="82">
      <formula>$J74=0</formula>
    </cfRule>
  </conditionalFormatting>
  <conditionalFormatting sqref="L74">
    <cfRule type="expression" dxfId="284" priority="80">
      <formula>$L75=0</formula>
    </cfRule>
  </conditionalFormatting>
  <conditionalFormatting sqref="J74:K74">
    <cfRule type="expression" dxfId="283" priority="84">
      <formula>$J74&gt;0</formula>
    </cfRule>
  </conditionalFormatting>
  <conditionalFormatting sqref="L74">
    <cfRule type="expression" dxfId="282" priority="78">
      <formula>$L74&lt;0</formula>
    </cfRule>
    <cfRule type="expression" dxfId="281" priority="79">
      <formula>$L74&gt;0</formula>
    </cfRule>
  </conditionalFormatting>
  <conditionalFormatting sqref="J74:K74">
    <cfRule type="expression" dxfId="280" priority="83">
      <formula>$J74&lt;0</formula>
    </cfRule>
  </conditionalFormatting>
  <conditionalFormatting sqref="E73 H73:I73">
    <cfRule type="expression" dxfId="279" priority="74">
      <formula>$H73=0</formula>
    </cfRule>
  </conditionalFormatting>
  <conditionalFormatting sqref="J73:K73">
    <cfRule type="expression" dxfId="278" priority="75">
      <formula>$J73=0</formula>
    </cfRule>
  </conditionalFormatting>
  <conditionalFormatting sqref="L73">
    <cfRule type="expression" dxfId="277" priority="73">
      <formula>$L74=0</formula>
    </cfRule>
  </conditionalFormatting>
  <conditionalFormatting sqref="J73:K73">
    <cfRule type="expression" dxfId="276" priority="77">
      <formula>$J73&gt;0</formula>
    </cfRule>
  </conditionalFormatting>
  <conditionalFormatting sqref="L73">
    <cfRule type="expression" dxfId="275" priority="71">
      <formula>$L73&lt;0</formula>
    </cfRule>
    <cfRule type="expression" dxfId="274" priority="72">
      <formula>$L73&gt;0</formula>
    </cfRule>
  </conditionalFormatting>
  <conditionalFormatting sqref="J73:K73">
    <cfRule type="expression" dxfId="273" priority="76">
      <formula>$J73&lt;0</formula>
    </cfRule>
  </conditionalFormatting>
  <conditionalFormatting sqref="O75">
    <cfRule type="expression" dxfId="272" priority="65">
      <formula>$O75=0</formula>
    </cfRule>
    <cfRule type="dataBar" priority="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71" priority="63">
      <formula>$J75=0</formula>
    </cfRule>
  </conditionalFormatting>
  <conditionalFormatting sqref="L75">
    <cfRule type="expression" dxfId="270" priority="62">
      <formula>$L76=0</formula>
    </cfRule>
  </conditionalFormatting>
  <conditionalFormatting sqref="J75:K75">
    <cfRule type="expression" dxfId="269" priority="64">
      <formula>$J75&lt;0</formula>
    </cfRule>
  </conditionalFormatting>
  <conditionalFormatting sqref="O75">
    <cfRule type="dataBar" priority="6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68" priority="57">
      <formula>$H75=0</formula>
    </cfRule>
  </conditionalFormatting>
  <conditionalFormatting sqref="J75:K75">
    <cfRule type="expression" dxfId="267" priority="58">
      <formula>$J75=0</formula>
    </cfRule>
  </conditionalFormatting>
  <conditionalFormatting sqref="L75">
    <cfRule type="expression" dxfId="266" priority="56">
      <formula>$L76=0</formula>
    </cfRule>
  </conditionalFormatting>
  <conditionalFormatting sqref="J75:K75">
    <cfRule type="expression" dxfId="265" priority="60">
      <formula>$J75&gt;0</formula>
    </cfRule>
  </conditionalFormatting>
  <conditionalFormatting sqref="L75">
    <cfRule type="expression" dxfId="264" priority="54">
      <formula>$L75&lt;0</formula>
    </cfRule>
    <cfRule type="expression" dxfId="263" priority="55">
      <formula>$L75&gt;0</formula>
    </cfRule>
  </conditionalFormatting>
  <conditionalFormatting sqref="J75:K75">
    <cfRule type="expression" dxfId="262" priority="59">
      <formula>$J75&lt;0</formula>
    </cfRule>
  </conditionalFormatting>
  <conditionalFormatting sqref="E7 H7:I7">
    <cfRule type="expression" dxfId="261" priority="49">
      <formula>$H7=0</formula>
    </cfRule>
  </conditionalFormatting>
  <conditionalFormatting sqref="J7:K7">
    <cfRule type="expression" dxfId="260" priority="50">
      <formula>$J7=0</formula>
    </cfRule>
  </conditionalFormatting>
  <conditionalFormatting sqref="L7">
    <cfRule type="expression" dxfId="259" priority="48">
      <formula>$L8=0</formula>
    </cfRule>
  </conditionalFormatting>
  <conditionalFormatting sqref="J7:K7">
    <cfRule type="expression" dxfId="258" priority="52">
      <formula>$J7&gt;0</formula>
    </cfRule>
  </conditionalFormatting>
  <conditionalFormatting sqref="L7">
    <cfRule type="expression" dxfId="257" priority="46">
      <formula>$L7&lt;0</formula>
    </cfRule>
    <cfRule type="expression" dxfId="256" priority="47">
      <formula>$L7&gt;0</formula>
    </cfRule>
  </conditionalFormatting>
  <conditionalFormatting sqref="J7:K7">
    <cfRule type="expression" dxfId="255" priority="51">
      <formula>$J7&lt;0</formula>
    </cfRule>
  </conditionalFormatting>
  <conditionalFormatting sqref="O7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79:P1048576">
    <cfRule type="dataBar" priority="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54" priority="41">
      <formula>$O76=0</formula>
    </cfRule>
    <cfRule type="dataBar" priority="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53" priority="39">
      <formula>$J76=0</formula>
    </cfRule>
  </conditionalFormatting>
  <conditionalFormatting sqref="L76">
    <cfRule type="expression" dxfId="252" priority="38">
      <formula>$L77=0</formula>
    </cfRule>
  </conditionalFormatting>
  <conditionalFormatting sqref="J76:K76">
    <cfRule type="expression" dxfId="251" priority="40">
      <formula>$J76&lt;0</formula>
    </cfRule>
  </conditionalFormatting>
  <conditionalFormatting sqref="O76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50" priority="33">
      <formula>$H76=0</formula>
    </cfRule>
  </conditionalFormatting>
  <conditionalFormatting sqref="J76:K76">
    <cfRule type="expression" dxfId="249" priority="34">
      <formula>$J76=0</formula>
    </cfRule>
  </conditionalFormatting>
  <conditionalFormatting sqref="L76">
    <cfRule type="expression" dxfId="248" priority="32">
      <formula>$L77=0</formula>
    </cfRule>
  </conditionalFormatting>
  <conditionalFormatting sqref="J76:K76">
    <cfRule type="expression" dxfId="247" priority="36">
      <formula>$J76&gt;0</formula>
    </cfRule>
  </conditionalFormatting>
  <conditionalFormatting sqref="L76">
    <cfRule type="expression" dxfId="246" priority="30">
      <formula>$L76&lt;0</formula>
    </cfRule>
    <cfRule type="expression" dxfId="245" priority="31">
      <formula>$L76&gt;0</formula>
    </cfRule>
  </conditionalFormatting>
  <conditionalFormatting sqref="J76:K76">
    <cfRule type="expression" dxfId="244" priority="35">
      <formula>$J76&lt;0</formula>
    </cfRule>
  </conditionalFormatting>
  <conditionalFormatting sqref="O77">
    <cfRule type="expression" dxfId="243" priority="28">
      <formula>$O77=0</formula>
    </cfRule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{2169E002-101D-4525-99AB-EEE1C128D1D1}</x14:id>
        </ext>
      </extLst>
    </cfRule>
  </conditionalFormatting>
  <conditionalFormatting sqref="J77:K77">
    <cfRule type="expression" dxfId="242" priority="26">
      <formula>$J77=0</formula>
    </cfRule>
  </conditionalFormatting>
  <conditionalFormatting sqref="L77">
    <cfRule type="expression" dxfId="241" priority="25">
      <formula>$L78=0</formula>
    </cfRule>
  </conditionalFormatting>
  <conditionalFormatting sqref="J77:K77">
    <cfRule type="expression" dxfId="240" priority="27">
      <formula>$J77&lt;0</formula>
    </cfRule>
  </conditionalFormatting>
  <conditionalFormatting sqref="O77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{D5B64BC2-B40F-4929-84CE-F91CC9FCE563}</x14:id>
        </ext>
      </extLst>
    </cfRule>
  </conditionalFormatting>
  <conditionalFormatting sqref="E77 H77:I77">
    <cfRule type="expression" dxfId="239" priority="20">
      <formula>$H77=0</formula>
    </cfRule>
  </conditionalFormatting>
  <conditionalFormatting sqref="J77:K77">
    <cfRule type="expression" dxfId="238" priority="21">
      <formula>$J77=0</formula>
    </cfRule>
  </conditionalFormatting>
  <conditionalFormatting sqref="L77">
    <cfRule type="expression" dxfId="237" priority="19">
      <formula>$L78=0</formula>
    </cfRule>
  </conditionalFormatting>
  <conditionalFormatting sqref="J77:K77">
    <cfRule type="expression" dxfId="236" priority="23">
      <formula>$J77&gt;0</formula>
    </cfRule>
  </conditionalFormatting>
  <conditionalFormatting sqref="L77">
    <cfRule type="expression" dxfId="235" priority="17">
      <formula>$L77&lt;0</formula>
    </cfRule>
    <cfRule type="expression" dxfId="234" priority="18">
      <formula>$L77&gt;0</formula>
    </cfRule>
  </conditionalFormatting>
  <conditionalFormatting sqref="J77:K77">
    <cfRule type="expression" dxfId="233" priority="22">
      <formula>$J77&lt;0</formula>
    </cfRule>
  </conditionalFormatting>
  <conditionalFormatting sqref="P78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{08FB1325-EA02-4BFA-B160-8747D9EFE450}</x14:id>
        </ext>
      </extLst>
    </cfRule>
  </conditionalFormatting>
  <conditionalFormatting sqref="O78">
    <cfRule type="expression" dxfId="232" priority="14">
      <formula>$O78=0</formula>
    </cfRule>
    <cfRule type="dataBar" priority="1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{4FF43FD2-AE1B-48CC-B5E3-C935DC5818A8}</x14:id>
        </ext>
      </extLst>
    </cfRule>
  </conditionalFormatting>
  <conditionalFormatting sqref="J78:K78">
    <cfRule type="expression" dxfId="231" priority="12">
      <formula>$J78=0</formula>
    </cfRule>
  </conditionalFormatting>
  <conditionalFormatting sqref="L78">
    <cfRule type="expression" dxfId="230" priority="11">
      <formula>$L79=0</formula>
    </cfRule>
  </conditionalFormatting>
  <conditionalFormatting sqref="J78:K78">
    <cfRule type="expression" dxfId="229" priority="13">
      <formula>$J78&lt;0</formula>
    </cfRule>
  </conditionalFormatting>
  <conditionalFormatting sqref="O78">
    <cfRule type="dataBar" priority="1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{1F9BB889-28DD-43B8-9AC3-1BBE444BA2C1}</x14:id>
        </ext>
      </extLst>
    </cfRule>
  </conditionalFormatting>
  <conditionalFormatting sqref="E78 H78:I78">
    <cfRule type="expression" dxfId="228" priority="6">
      <formula>$H78=0</formula>
    </cfRule>
  </conditionalFormatting>
  <conditionalFormatting sqref="J78:K78">
    <cfRule type="expression" dxfId="227" priority="7">
      <formula>$J78=0</formula>
    </cfRule>
  </conditionalFormatting>
  <conditionalFormatting sqref="L78">
    <cfRule type="expression" dxfId="226" priority="5">
      <formula>$L79=0</formula>
    </cfRule>
  </conditionalFormatting>
  <conditionalFormatting sqref="J78:K78">
    <cfRule type="expression" dxfId="225" priority="9">
      <formula>$J78&gt;0</formula>
    </cfRule>
  </conditionalFormatting>
  <conditionalFormatting sqref="L78">
    <cfRule type="expression" dxfId="224" priority="3">
      <formula>$L78&lt;0</formula>
    </cfRule>
    <cfRule type="expression" dxfId="223" priority="4">
      <formula>$L78&gt;0</formula>
    </cfRule>
  </conditionalFormatting>
  <conditionalFormatting sqref="J78:K78">
    <cfRule type="expression" dxfId="222" priority="8">
      <formula>$J78&lt;0</formula>
    </cfRule>
  </conditionalFormatting>
  <conditionalFormatting sqref="P1:P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hyperlinks>
    <hyperlink ref="E30" location="BIIB!A1" display="BIIB"/>
    <hyperlink ref="E31" location="MYL!A1" display="MYL"/>
    <hyperlink ref="E7" location="SIG!A1" display="SIG"/>
    <hyperlink ref="E32" location="AAPL!A1" display="AAPL"/>
    <hyperlink ref="E33" location="AXP!A1" display="AXP"/>
    <hyperlink ref="E34" location="DG!A1" display="DG"/>
    <hyperlink ref="E35" location="PINC!A1" display="PINC"/>
    <hyperlink ref="E36" location="FOXA!A1" display="FOXA"/>
    <hyperlink ref="E13" location="AOBC!A1" display="AOBC"/>
    <hyperlink ref="E37" location="LUV!A1" display="LUV"/>
    <hyperlink ref="E38" location="CCE!A1" display="CCE"/>
    <hyperlink ref="E39" location="BMY!A1" display="BMY"/>
    <hyperlink ref="E40" location="GPS!A1" display="GPS"/>
    <hyperlink ref="E41" location="AKAM!A1" display="AKAM"/>
    <hyperlink ref="E42" location="ARNC!A1" display="ARNC"/>
    <hyperlink ref="E43" location="CVS!A1" display="CVS"/>
    <hyperlink ref="E44" location="ADBE!A1" display="ADBE"/>
    <hyperlink ref="E2" location="MRO!A1" display="MRO"/>
    <hyperlink ref="E23" location="GE!A1" display="GE"/>
    <hyperlink ref="E3" location="KR!A1" display="KR"/>
    <hyperlink ref="E45" location="F!A1" display="F"/>
    <hyperlink ref="E46" location="JNJ!A1" display="JNJ"/>
    <hyperlink ref="E4" location="ULTA!A1" display="ULTA"/>
    <hyperlink ref="E29" location="FRC!A1" display="FRC"/>
    <hyperlink ref="E18" location="AAP!A1" display="AAP"/>
    <hyperlink ref="E20" location="T!A1" display="T"/>
    <hyperlink ref="E26" location="COST!A1" display="COST"/>
    <hyperlink ref="E47" location="CPN!A1" display="CPN"/>
    <hyperlink ref="E48" location="EW!A1" display="EW"/>
    <hyperlink ref="E49" location="TJX!A1" display="TJX"/>
    <hyperlink ref="E11" location="WBA!A1" display="WBA"/>
    <hyperlink ref="E50" location="AZO!A1" display="AZO"/>
    <hyperlink ref="E24" location="KHC!A1" display="KHC"/>
    <hyperlink ref="E15" location="KBWY!A1" display="KBWY"/>
    <hyperlink ref="E25" location="AYI!A1" display="AYI"/>
    <hyperlink ref="E8" location="DIA!A1" display="DIA"/>
    <hyperlink ref="E27" location="ICE!A1" display="ICE"/>
    <hyperlink ref="E51" location="NKE!A1" display="NKE"/>
    <hyperlink ref="E12" location="MOS!A1" display="MOS"/>
    <hyperlink ref="E52" location="VGK!A1" display="VGK"/>
    <hyperlink ref="E28" location="CMG!A1" display="CMG"/>
    <hyperlink ref="E22" location="HAS!A1" display="HAS"/>
    <hyperlink ref="E5" location="HSIC!A1" display="HSIC"/>
    <hyperlink ref="E9" location="PDCO!A1" display="PDCO"/>
    <hyperlink ref="E53" location="MU!A1" display="MU"/>
    <hyperlink ref="E54" location="IP!A1" display="IP"/>
    <hyperlink ref="E55" location="INTC!A1" display="INTC"/>
    <hyperlink ref="E56" location="HES!A1" display="HES"/>
    <hyperlink ref="E57" location="UNP!A1" display="UNP"/>
    <hyperlink ref="E58" location="NCLH!A1" display="NCLH"/>
    <hyperlink ref="E6" location="SPY!A1" display="SPY"/>
    <hyperlink ref="E59" location="SWKS!A1" display="SWKS"/>
    <hyperlink ref="E60" location="CNI!A1" display="CNI"/>
    <hyperlink ref="E14" location="WFC!A1" display="WFC"/>
    <hyperlink ref="E61" location="AA!A1" display="AA"/>
    <hyperlink ref="E62" location="CF!A1" display="CF"/>
    <hyperlink ref="E63" location="TGT!A1" display="TGT"/>
    <hyperlink ref="E10" location="NWL!A1" display="NWL"/>
    <hyperlink ref="E64" location="KORS!A1" display="KORS"/>
    <hyperlink ref="E65" location="ALL!A1" display="ALL"/>
    <hyperlink ref="E66" location="NSC!A1" display="NSC"/>
    <hyperlink ref="E67" location="AVGO!A1" display="AVGO"/>
    <hyperlink ref="E68" location="UAL!A1" display="UAL"/>
    <hyperlink ref="E69" location="CAH!A1" display="CAH"/>
    <hyperlink ref="E19" location="DAL!A1" display="DAL"/>
    <hyperlink ref="E16" location="TEVA!A1" display="TEVA"/>
    <hyperlink ref="E70" location="DIS!A1" display="DIS"/>
    <hyperlink ref="E71" location="FTR!A1" display="FTR"/>
    <hyperlink ref="E21" location="GILD!A1" display="GILD"/>
    <hyperlink ref="E72" location="WWD!A1" display="WWD"/>
    <hyperlink ref="E17" location="GIS!A1" display="GIS"/>
    <hyperlink ref="E73" location="GM!A1" display="GM"/>
    <hyperlink ref="E74" location="TMO!A1" display="TMO"/>
    <hyperlink ref="E75" location="TKR!A1" display="TKR"/>
    <hyperlink ref="E76" location="UTX!A1" display="UTX"/>
    <hyperlink ref="E7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O79:O1048576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P79:P1048576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2169E002-101D-4525-99AB-EEE1C128D1D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5B64BC2-B40F-4929-84CE-F91CC9FCE56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08FB1325-EA02-4BFA-B160-8747D9EFE45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P78</xm:sqref>
        </x14:conditionalFormatting>
        <x14:conditionalFormatting xmlns:xm="http://schemas.microsoft.com/office/excel/2006/main">
          <x14:cfRule type="dataBar" id="{4FF43FD2-AE1B-48CC-B5E3-C935DC5818A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1F9BB889-28DD-43B8-9AC3-1BBE444BA2C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O78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H262" sqref="H262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49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10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10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10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10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79" t="s">
        <v>15</v>
      </c>
      <c r="B141" s="369">
        <v>42153</v>
      </c>
      <c r="C141" s="370">
        <v>1</v>
      </c>
      <c r="D141" s="371">
        <v>26.75</v>
      </c>
      <c r="E141" s="371">
        <v>0</v>
      </c>
      <c r="F141" s="371">
        <f>C141*D141</f>
        <v>26.75</v>
      </c>
      <c r="G141" s="369">
        <v>42226</v>
      </c>
      <c r="H141" s="370">
        <v>170</v>
      </c>
      <c r="I141" s="370">
        <v>22.35</v>
      </c>
      <c r="J141" s="371">
        <v>7.0000000000000007E-2</v>
      </c>
      <c r="K141" s="370">
        <f t="shared" ref="K141:K148" si="7">H141*I141-J141</f>
        <v>3799.4300000000003</v>
      </c>
      <c r="L141" s="370" t="s">
        <v>80</v>
      </c>
      <c r="M141" s="370"/>
      <c r="N141" s="370"/>
      <c r="O141" s="370"/>
      <c r="P141" s="81"/>
    </row>
    <row r="142" spans="1:16" ht="18" customHeight="1" x14ac:dyDescent="0.25">
      <c r="A142" s="380"/>
      <c r="B142" s="369">
        <v>42173</v>
      </c>
      <c r="C142" s="370">
        <v>19</v>
      </c>
      <c r="D142" s="371">
        <v>24.84</v>
      </c>
      <c r="E142" s="371">
        <v>0</v>
      </c>
      <c r="F142" s="371">
        <f t="shared" ref="F142:F155" si="8">C142*D142</f>
        <v>471.96</v>
      </c>
      <c r="G142" s="369">
        <v>42263</v>
      </c>
      <c r="H142" s="370">
        <v>120</v>
      </c>
      <c r="I142" s="370">
        <v>19.28</v>
      </c>
      <c r="J142" s="370">
        <v>0.04</v>
      </c>
      <c r="K142" s="370">
        <f t="shared" si="7"/>
        <v>2313.5600000000004</v>
      </c>
      <c r="L142" s="370"/>
      <c r="M142" s="370"/>
      <c r="N142" s="370"/>
      <c r="O142" s="370"/>
      <c r="P142" s="81"/>
    </row>
    <row r="143" spans="1:16" ht="18" customHeight="1" x14ac:dyDescent="0.25">
      <c r="A143" s="370"/>
      <c r="B143" s="369">
        <v>42184</v>
      </c>
      <c r="C143" s="370">
        <v>10</v>
      </c>
      <c r="D143" s="371">
        <v>24.33</v>
      </c>
      <c r="E143" s="371">
        <v>0</v>
      </c>
      <c r="F143" s="371">
        <f t="shared" si="8"/>
        <v>243.29999999999998</v>
      </c>
      <c r="G143" s="369">
        <v>42284</v>
      </c>
      <c r="H143" s="370">
        <v>40</v>
      </c>
      <c r="I143" s="370">
        <v>20.45</v>
      </c>
      <c r="J143" s="370">
        <v>0.02</v>
      </c>
      <c r="K143" s="370">
        <f t="shared" si="7"/>
        <v>817.98</v>
      </c>
      <c r="L143" s="370"/>
      <c r="M143" s="370"/>
      <c r="N143" s="370"/>
      <c r="O143" s="370"/>
      <c r="P143" s="81"/>
    </row>
    <row r="144" spans="1:16" ht="18" customHeight="1" x14ac:dyDescent="0.25">
      <c r="A144" s="370"/>
      <c r="B144" s="369">
        <v>42185</v>
      </c>
      <c r="C144" s="370">
        <v>5</v>
      </c>
      <c r="D144" s="371">
        <v>23.82</v>
      </c>
      <c r="E144" s="371">
        <v>0</v>
      </c>
      <c r="F144" s="371">
        <f t="shared" si="8"/>
        <v>119.1</v>
      </c>
      <c r="G144" s="369">
        <v>42285</v>
      </c>
      <c r="H144" s="370">
        <v>80</v>
      </c>
      <c r="I144" s="371">
        <v>21.14</v>
      </c>
      <c r="J144" s="371">
        <v>0.03</v>
      </c>
      <c r="K144" s="370">
        <f t="shared" si="7"/>
        <v>1691.17</v>
      </c>
      <c r="L144" s="370"/>
      <c r="M144" s="370"/>
      <c r="N144" s="370"/>
      <c r="O144" s="370"/>
      <c r="P144" s="81"/>
    </row>
    <row r="145" spans="1:17" ht="18" customHeight="1" x14ac:dyDescent="0.25">
      <c r="A145" s="370"/>
      <c r="B145" s="369">
        <v>42185</v>
      </c>
      <c r="C145" s="370">
        <v>15</v>
      </c>
      <c r="D145" s="371">
        <v>23.71</v>
      </c>
      <c r="E145" s="371">
        <v>0</v>
      </c>
      <c r="F145" s="371">
        <f t="shared" si="8"/>
        <v>355.65000000000003</v>
      </c>
      <c r="G145" s="369">
        <v>42010</v>
      </c>
      <c r="H145" s="370">
        <v>60</v>
      </c>
      <c r="I145" s="370">
        <v>17.760000000000002</v>
      </c>
      <c r="J145" s="370">
        <v>0.02</v>
      </c>
      <c r="K145" s="370">
        <f t="shared" si="7"/>
        <v>1065.5800000000002</v>
      </c>
      <c r="L145" s="370"/>
      <c r="M145" s="370"/>
      <c r="N145" s="370"/>
      <c r="O145" s="370"/>
      <c r="P145" s="81"/>
    </row>
    <row r="146" spans="1:17" ht="18" customHeight="1" x14ac:dyDescent="0.25">
      <c r="A146" s="370"/>
      <c r="B146" s="369">
        <v>42185</v>
      </c>
      <c r="C146" s="370">
        <v>30</v>
      </c>
      <c r="D146" s="371">
        <v>23.65</v>
      </c>
      <c r="E146" s="371">
        <v>0</v>
      </c>
      <c r="F146" s="371">
        <f t="shared" si="8"/>
        <v>709.5</v>
      </c>
      <c r="G146" s="369">
        <v>42398</v>
      </c>
      <c r="H146" s="370">
        <v>60</v>
      </c>
      <c r="I146" s="370">
        <v>17.559999999999999</v>
      </c>
      <c r="J146" s="370">
        <v>0.02</v>
      </c>
      <c r="K146" s="370">
        <f t="shared" si="7"/>
        <v>1053.58</v>
      </c>
      <c r="L146" s="370"/>
      <c r="M146" s="370"/>
      <c r="N146" s="370"/>
      <c r="O146" s="370"/>
      <c r="P146" s="81"/>
    </row>
    <row r="147" spans="1:17" ht="18" customHeight="1" x14ac:dyDescent="0.25">
      <c r="A147" s="370"/>
      <c r="B147" s="369">
        <v>42185</v>
      </c>
      <c r="C147" s="370">
        <v>40</v>
      </c>
      <c r="D147" s="371">
        <v>23.2</v>
      </c>
      <c r="E147" s="371">
        <v>0</v>
      </c>
      <c r="F147" s="371">
        <f t="shared" si="8"/>
        <v>928</v>
      </c>
      <c r="G147" s="369">
        <v>42416</v>
      </c>
      <c r="H147" s="370">
        <v>60</v>
      </c>
      <c r="I147" s="370">
        <v>16.82</v>
      </c>
      <c r="J147" s="370">
        <v>0.02</v>
      </c>
      <c r="K147" s="370">
        <f t="shared" si="7"/>
        <v>1009.1800000000001</v>
      </c>
      <c r="L147" s="370"/>
      <c r="M147" s="370"/>
      <c r="N147" s="370"/>
      <c r="O147" s="370"/>
      <c r="P147" s="81"/>
    </row>
    <row r="148" spans="1:17" ht="18" customHeight="1" x14ac:dyDescent="0.25">
      <c r="A148" s="370"/>
      <c r="B148" s="369">
        <v>42185</v>
      </c>
      <c r="C148" s="370">
        <v>50</v>
      </c>
      <c r="D148" s="371">
        <v>22.94</v>
      </c>
      <c r="E148" s="371">
        <v>0</v>
      </c>
      <c r="F148" s="371">
        <f t="shared" si="8"/>
        <v>1147</v>
      </c>
      <c r="G148" s="369">
        <v>42423</v>
      </c>
      <c r="H148" s="370">
        <v>60</v>
      </c>
      <c r="I148" s="370">
        <v>17.84</v>
      </c>
      <c r="J148" s="370">
        <v>0.02</v>
      </c>
      <c r="K148" s="370">
        <f t="shared" si="7"/>
        <v>1070.3800000000001</v>
      </c>
      <c r="L148" s="370"/>
      <c r="M148" s="370"/>
      <c r="N148" s="370"/>
      <c r="O148" s="370"/>
      <c r="P148" s="81"/>
    </row>
    <row r="149" spans="1:17" ht="18" customHeight="1" x14ac:dyDescent="0.25">
      <c r="A149" s="370"/>
      <c r="B149" s="369">
        <v>42209</v>
      </c>
      <c r="C149" s="370">
        <v>50</v>
      </c>
      <c r="D149" s="371">
        <v>19.75</v>
      </c>
      <c r="E149" s="371">
        <v>0</v>
      </c>
      <c r="F149" s="371">
        <f t="shared" si="8"/>
        <v>987.5</v>
      </c>
      <c r="G149" s="370"/>
      <c r="H149" s="370"/>
      <c r="I149" s="370"/>
      <c r="J149" s="370"/>
      <c r="K149" s="370"/>
      <c r="L149" s="370"/>
      <c r="M149" s="370"/>
      <c r="N149" s="370"/>
      <c r="O149" s="370"/>
      <c r="P149" s="81"/>
    </row>
    <row r="150" spans="1:17" ht="18" customHeight="1" x14ac:dyDescent="0.25">
      <c r="A150" s="370"/>
      <c r="B150" s="369">
        <v>42212</v>
      </c>
      <c r="C150" s="370">
        <v>30</v>
      </c>
      <c r="D150" s="371">
        <v>19.2</v>
      </c>
      <c r="E150" s="371">
        <v>0</v>
      </c>
      <c r="F150" s="371">
        <f t="shared" si="8"/>
        <v>576</v>
      </c>
      <c r="G150" s="370"/>
      <c r="H150" s="370"/>
      <c r="I150" s="370"/>
      <c r="J150" s="370"/>
      <c r="K150" s="370"/>
      <c r="L150" s="370"/>
      <c r="M150" s="370"/>
      <c r="N150" s="370"/>
      <c r="O150" s="370"/>
      <c r="P150" s="81"/>
    </row>
    <row r="151" spans="1:17" ht="18" customHeight="1" x14ac:dyDescent="0.25">
      <c r="A151" s="370"/>
      <c r="B151" s="369">
        <v>42240</v>
      </c>
      <c r="C151" s="370">
        <v>40</v>
      </c>
      <c r="D151" s="371">
        <v>19.93</v>
      </c>
      <c r="E151" s="371">
        <v>0</v>
      </c>
      <c r="F151" s="371">
        <f t="shared" si="8"/>
        <v>797.2</v>
      </c>
      <c r="G151" s="370"/>
      <c r="H151" s="370"/>
      <c r="I151" s="370"/>
      <c r="J151" s="370"/>
      <c r="K151" s="370"/>
      <c r="L151" s="370"/>
      <c r="M151" s="370"/>
      <c r="N151" s="370"/>
      <c r="O151" s="370"/>
      <c r="P151" s="81"/>
    </row>
    <row r="152" spans="1:17" ht="18" customHeight="1" x14ac:dyDescent="0.25">
      <c r="A152" s="370"/>
      <c r="B152" s="369">
        <v>42261</v>
      </c>
      <c r="C152" s="370">
        <v>120</v>
      </c>
      <c r="D152" s="371">
        <v>18.7</v>
      </c>
      <c r="E152" s="371">
        <v>0</v>
      </c>
      <c r="F152" s="371">
        <f t="shared" si="8"/>
        <v>2244</v>
      </c>
      <c r="G152" s="370"/>
      <c r="H152" s="370"/>
      <c r="I152" s="370"/>
      <c r="J152" s="370"/>
      <c r="K152" s="370"/>
      <c r="L152" s="370"/>
      <c r="M152" s="370"/>
      <c r="N152" s="370"/>
      <c r="O152" s="370"/>
      <c r="P152" s="81"/>
    </row>
    <row r="153" spans="1:17" ht="18" customHeight="1" x14ac:dyDescent="0.25">
      <c r="A153" s="370"/>
      <c r="B153" s="369">
        <v>42349</v>
      </c>
      <c r="C153" s="370">
        <v>60</v>
      </c>
      <c r="D153" s="371">
        <v>18.04</v>
      </c>
      <c r="E153" s="371">
        <v>0</v>
      </c>
      <c r="F153" s="371">
        <f t="shared" si="8"/>
        <v>1082.3999999999999</v>
      </c>
      <c r="G153" s="370"/>
      <c r="H153" s="370"/>
      <c r="I153" s="370"/>
      <c r="J153" s="370"/>
      <c r="K153" s="370"/>
      <c r="L153" s="370"/>
      <c r="M153" s="370"/>
      <c r="N153" s="370"/>
      <c r="O153" s="370"/>
      <c r="P153" s="81"/>
    </row>
    <row r="154" spans="1:17" ht="18" customHeight="1" x14ac:dyDescent="0.25">
      <c r="A154" s="370"/>
      <c r="B154" s="369">
        <v>42362</v>
      </c>
      <c r="C154" s="370">
        <v>120</v>
      </c>
      <c r="D154" s="371">
        <v>17.079999999999998</v>
      </c>
      <c r="E154" s="371">
        <v>0</v>
      </c>
      <c r="F154" s="371">
        <f t="shared" si="8"/>
        <v>2049.6</v>
      </c>
      <c r="G154" s="370"/>
      <c r="H154" s="370"/>
      <c r="I154" s="370"/>
      <c r="J154" s="370"/>
      <c r="K154" s="370"/>
      <c r="L154" s="370"/>
      <c r="M154" s="370"/>
      <c r="N154" s="370"/>
      <c r="O154" s="370"/>
      <c r="P154" s="81"/>
    </row>
    <row r="155" spans="1:17" ht="18" customHeight="1" x14ac:dyDescent="0.25">
      <c r="A155" s="370"/>
      <c r="B155" s="369">
        <v>42409</v>
      </c>
      <c r="C155" s="370">
        <v>60</v>
      </c>
      <c r="D155" s="371">
        <v>15.45</v>
      </c>
      <c r="E155" s="371">
        <v>0</v>
      </c>
      <c r="F155" s="371">
        <f t="shared" si="8"/>
        <v>927</v>
      </c>
      <c r="G155" s="370"/>
      <c r="H155" s="370"/>
      <c r="I155" s="370"/>
      <c r="J155" s="370"/>
      <c r="K155" s="370"/>
      <c r="L155" s="370"/>
      <c r="M155" s="370"/>
      <c r="N155" s="370"/>
      <c r="O155" s="370"/>
      <c r="P155" s="81"/>
    </row>
    <row r="156" spans="1:17" ht="18" customHeight="1" x14ac:dyDescent="0.25">
      <c r="A156" s="370"/>
      <c r="B156" s="370"/>
      <c r="C156" s="370"/>
      <c r="D156" s="371"/>
      <c r="E156" s="371"/>
      <c r="F156" s="371"/>
      <c r="G156" s="370"/>
      <c r="H156" s="370"/>
      <c r="I156" s="370"/>
      <c r="J156" s="370"/>
      <c r="K156" s="370"/>
      <c r="L156" s="370"/>
      <c r="M156" s="370"/>
      <c r="N156" s="370"/>
      <c r="O156" s="370"/>
      <c r="P156" s="81"/>
    </row>
    <row r="157" spans="1:17" ht="18" customHeight="1" x14ac:dyDescent="0.25">
      <c r="A157" s="370"/>
      <c r="B157" s="370"/>
      <c r="C157" s="370"/>
      <c r="D157" s="371"/>
      <c r="E157" s="371"/>
      <c r="F157" s="371"/>
      <c r="G157" s="370"/>
      <c r="H157" s="370"/>
      <c r="I157" s="370"/>
      <c r="J157" s="370"/>
      <c r="K157" s="370"/>
      <c r="L157" s="370"/>
      <c r="M157" s="370"/>
      <c r="N157" s="370"/>
      <c r="O157" s="370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3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4" t="s">
        <v>393</v>
      </c>
      <c r="B167" s="665">
        <v>42767</v>
      </c>
      <c r="C167" s="666">
        <v>35</v>
      </c>
      <c r="D167" s="667">
        <v>69.58</v>
      </c>
      <c r="E167" s="667">
        <v>0</v>
      </c>
      <c r="F167" s="667">
        <f>C167*D167+E167</f>
        <v>2435.2999999999997</v>
      </c>
      <c r="G167" s="665">
        <v>42803</v>
      </c>
      <c r="H167" s="668">
        <v>35</v>
      </c>
      <c r="I167" s="667">
        <v>87.78</v>
      </c>
      <c r="J167" s="667">
        <v>7.0000000000000007E-2</v>
      </c>
      <c r="K167" s="667">
        <f>I167*H167-J167</f>
        <v>3072.23</v>
      </c>
      <c r="L167" s="665">
        <v>42829</v>
      </c>
      <c r="M167" s="666">
        <v>14.44</v>
      </c>
      <c r="N167" s="669"/>
      <c r="O167" s="670"/>
    </row>
    <row r="168" spans="1:18" ht="18" customHeight="1" x14ac:dyDescent="0.25">
      <c r="A168" s="671"/>
      <c r="B168" s="666"/>
      <c r="C168" s="671">
        <f>SUM(C167:C167)</f>
        <v>35</v>
      </c>
      <c r="D168" s="672"/>
      <c r="E168" s="672"/>
      <c r="F168" s="672">
        <f>SUM(F167:F167)</f>
        <v>2435.2999999999997</v>
      </c>
      <c r="G168" s="671"/>
      <c r="H168" s="671">
        <f>SUM(H167:H167)</f>
        <v>35</v>
      </c>
      <c r="I168" s="672"/>
      <c r="J168" s="672"/>
      <c r="K168" s="672">
        <f>SUM(K167:K167)</f>
        <v>3072.23</v>
      </c>
      <c r="L168" s="671"/>
      <c r="M168" s="672">
        <f>SUM(M167:M167)</f>
        <v>14.44</v>
      </c>
      <c r="N168" s="662">
        <f>K168-F168</f>
        <v>636.93000000000029</v>
      </c>
      <c r="O168" s="663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10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10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6"/>
      <c r="O227" s="427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0" t="s">
        <v>223</v>
      </c>
      <c r="R251" s="439"/>
      <c r="S251" s="418" t="s">
        <v>218</v>
      </c>
      <c r="T251" s="416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39">
        <v>0.02</v>
      </c>
      <c r="S252" s="416">
        <v>2015</v>
      </c>
      <c r="T252" s="416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39"/>
      <c r="S253" s="458">
        <v>42278</v>
      </c>
      <c r="T253" s="416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6"/>
      <c r="R254" s="439"/>
      <c r="S254" s="458">
        <v>42309</v>
      </c>
      <c r="T254" s="416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39"/>
      <c r="S255" s="458">
        <v>42339</v>
      </c>
      <c r="T255" s="416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39"/>
      <c r="S256" s="458">
        <v>42370</v>
      </c>
      <c r="T256" s="416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39"/>
      <c r="S257" s="458">
        <v>42401</v>
      </c>
      <c r="T257" s="416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39"/>
      <c r="S258" s="458">
        <v>42430</v>
      </c>
      <c r="T258" s="416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39"/>
      <c r="S259" s="458">
        <v>42461</v>
      </c>
      <c r="T259" s="416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39"/>
      <c r="S260" s="458">
        <v>42491</v>
      </c>
      <c r="T260" s="416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39"/>
      <c r="S261" s="458">
        <v>42552</v>
      </c>
      <c r="T261" s="416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39"/>
      <c r="S262" s="458">
        <v>42580</v>
      </c>
      <c r="T262" s="416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39"/>
      <c r="S263" s="458">
        <v>42582</v>
      </c>
      <c r="T263" s="416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39"/>
      <c r="S264" s="458">
        <v>42608</v>
      </c>
      <c r="T264" s="416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39"/>
      <c r="S265" s="458">
        <v>42614</v>
      </c>
      <c r="T265" s="416">
        <v>0.23</v>
      </c>
    </row>
    <row r="266" spans="1:21" ht="18" customHeight="1" x14ac:dyDescent="0.25">
      <c r="M266" s="25" t="s">
        <v>152</v>
      </c>
      <c r="N266" s="518">
        <f>T302</f>
        <v>1083.5500000000004</v>
      </c>
      <c r="Q266" s="354"/>
      <c r="R266" s="439"/>
      <c r="S266" s="458">
        <v>42639</v>
      </c>
      <c r="T266" s="416">
        <v>0.56999999999999995</v>
      </c>
    </row>
    <row r="267" spans="1:21" ht="18" customHeight="1" x14ac:dyDescent="0.25">
      <c r="M267" s="25" t="s">
        <v>129</v>
      </c>
      <c r="N267" s="141">
        <f>SUM(ACTIVE!L:L)</f>
        <v>35589.954666668287</v>
      </c>
      <c r="Q267" s="354"/>
      <c r="R267" s="439"/>
      <c r="S267" s="458">
        <v>42644</v>
      </c>
      <c r="T267" s="416">
        <v>0.14000000000000001</v>
      </c>
    </row>
    <row r="268" spans="1:21" ht="18" customHeight="1" x14ac:dyDescent="0.25">
      <c r="Q268" s="354"/>
      <c r="R268" s="439"/>
      <c r="S268" s="458">
        <v>42674</v>
      </c>
      <c r="T268" s="416">
        <v>0.45</v>
      </c>
    </row>
    <row r="269" spans="1:21" ht="18" customHeight="1" x14ac:dyDescent="0.25">
      <c r="M269" s="25" t="s">
        <v>143</v>
      </c>
      <c r="N269" s="141">
        <f>SUM(N264:N267)</f>
        <v>34361.324666668355</v>
      </c>
      <c r="Q269" s="354"/>
      <c r="R269" s="439"/>
      <c r="S269" s="458">
        <v>42704</v>
      </c>
      <c r="T269" s="416">
        <v>0.43</v>
      </c>
    </row>
    <row r="270" spans="1:21" ht="18" customHeight="1" x14ac:dyDescent="0.25">
      <c r="M270" s="25" t="s">
        <v>144</v>
      </c>
      <c r="N270" s="141">
        <f>Balance!Z2</f>
        <v>34359.799999999988</v>
      </c>
      <c r="Q270" s="354"/>
      <c r="R270" s="439"/>
      <c r="S270" s="458">
        <v>43099</v>
      </c>
      <c r="T270" s="416">
        <v>0.64</v>
      </c>
    </row>
    <row r="271" spans="1:21" ht="18" customHeight="1" x14ac:dyDescent="0.25">
      <c r="M271" s="25" t="s">
        <v>191</v>
      </c>
      <c r="N271" s="519">
        <f>1.5+R302</f>
        <v>1.52</v>
      </c>
      <c r="O271" s="343"/>
      <c r="Q271" s="354"/>
      <c r="R271" s="439"/>
      <c r="S271" s="458">
        <v>42760</v>
      </c>
      <c r="T271" s="416">
        <v>0.56999999999999995</v>
      </c>
    </row>
    <row r="272" spans="1:21" ht="18" customHeight="1" x14ac:dyDescent="0.25">
      <c r="Q272" s="354"/>
      <c r="R272" s="439"/>
      <c r="S272" s="458">
        <v>42767</v>
      </c>
      <c r="T272" s="416">
        <v>0.12</v>
      </c>
    </row>
    <row r="273" spans="13:20" ht="18" customHeight="1" x14ac:dyDescent="0.25">
      <c r="M273" s="25" t="s">
        <v>131</v>
      </c>
      <c r="N273" s="520">
        <f>N269-N271-N270</f>
        <v>4.6666683701914735E-3</v>
      </c>
      <c r="Q273" s="354"/>
      <c r="R273" s="439"/>
      <c r="S273" s="458">
        <v>42794</v>
      </c>
      <c r="T273" s="416">
        <v>0.28000000000000003</v>
      </c>
    </row>
    <row r="274" spans="13:20" ht="18" customHeight="1" x14ac:dyDescent="0.25">
      <c r="Q274" s="354"/>
      <c r="R274" s="439"/>
      <c r="S274" s="458">
        <v>42824</v>
      </c>
      <c r="T274" s="416">
        <v>0.81</v>
      </c>
    </row>
    <row r="275" spans="13:20" ht="18" customHeight="1" x14ac:dyDescent="0.25">
      <c r="Q275" s="354"/>
      <c r="R275" s="439"/>
      <c r="S275" s="458">
        <v>42851</v>
      </c>
      <c r="T275" s="416">
        <v>0.93</v>
      </c>
    </row>
    <row r="276" spans="13:20" ht="18" customHeight="1" x14ac:dyDescent="0.25">
      <c r="Q276" s="354"/>
      <c r="R276" s="439"/>
      <c r="S276" s="458">
        <v>42853</v>
      </c>
      <c r="T276" s="416">
        <v>7.0000000000000007E-2</v>
      </c>
    </row>
    <row r="277" spans="13:20" ht="18" customHeight="1" x14ac:dyDescent="0.25">
      <c r="Q277" s="354"/>
      <c r="R277" s="439"/>
      <c r="S277" s="458">
        <v>42877</v>
      </c>
      <c r="T277" s="416">
        <v>0.56000000000000005</v>
      </c>
    </row>
    <row r="278" spans="13:20" ht="18" customHeight="1" x14ac:dyDescent="0.25">
      <c r="Q278" s="354"/>
      <c r="R278" s="439"/>
      <c r="S278" s="458">
        <v>42887</v>
      </c>
      <c r="T278" s="416">
        <v>0.24</v>
      </c>
    </row>
    <row r="279" spans="13:20" ht="18" customHeight="1" x14ac:dyDescent="0.25">
      <c r="Q279" s="354"/>
      <c r="R279" s="439"/>
      <c r="S279" s="458">
        <v>42908</v>
      </c>
      <c r="T279" s="416">
        <v>0.42</v>
      </c>
    </row>
    <row r="280" spans="13:20" ht="18" customHeight="1" x14ac:dyDescent="0.25">
      <c r="Q280" s="354"/>
      <c r="R280" s="439"/>
      <c r="S280" s="458">
        <v>42916</v>
      </c>
      <c r="T280" s="416">
        <v>1.02</v>
      </c>
    </row>
    <row r="281" spans="13:20" ht="18" customHeight="1" x14ac:dyDescent="0.25">
      <c r="Q281" s="354"/>
      <c r="R281" s="439"/>
      <c r="S281" s="458">
        <v>42947</v>
      </c>
      <c r="T281" s="416">
        <v>7.97</v>
      </c>
    </row>
    <row r="282" spans="13:20" ht="18" customHeight="1" x14ac:dyDescent="0.25">
      <c r="Q282" s="354"/>
      <c r="R282" s="439"/>
      <c r="S282" s="458">
        <v>42965</v>
      </c>
      <c r="T282" s="416">
        <v>3.88</v>
      </c>
    </row>
    <row r="283" spans="13:20" ht="18" customHeight="1" x14ac:dyDescent="0.25">
      <c r="Q283" s="354"/>
      <c r="R283" s="439"/>
      <c r="S283" s="458">
        <v>42978</v>
      </c>
      <c r="T283" s="416">
        <v>2.72</v>
      </c>
    </row>
    <row r="284" spans="13:20" ht="18" customHeight="1" x14ac:dyDescent="0.25">
      <c r="Q284" s="354"/>
      <c r="R284" s="439"/>
      <c r="S284" s="458">
        <v>43007</v>
      </c>
      <c r="T284" s="416">
        <v>7.89</v>
      </c>
    </row>
    <row r="285" spans="13:20" ht="18" customHeight="1" x14ac:dyDescent="0.25">
      <c r="Q285" s="354"/>
      <c r="R285" s="439"/>
      <c r="S285" s="458">
        <v>43035</v>
      </c>
      <c r="T285" s="416">
        <v>10.63</v>
      </c>
    </row>
    <row r="286" spans="13:20" ht="18" customHeight="1" x14ac:dyDescent="0.25">
      <c r="Q286" s="354"/>
      <c r="R286" s="439"/>
      <c r="S286" s="458">
        <v>43039</v>
      </c>
      <c r="T286" s="416">
        <v>0.96</v>
      </c>
    </row>
    <row r="287" spans="13:20" ht="18" customHeight="1" x14ac:dyDescent="0.25">
      <c r="Q287" s="354"/>
      <c r="R287" s="439"/>
      <c r="S287" s="458">
        <v>11628</v>
      </c>
      <c r="T287" s="416">
        <v>5.66</v>
      </c>
    </row>
    <row r="288" spans="13:20" ht="18" customHeight="1" x14ac:dyDescent="0.25">
      <c r="Q288" s="354"/>
      <c r="R288" s="439"/>
      <c r="S288" s="458">
        <v>43098</v>
      </c>
      <c r="T288" s="416">
        <v>9.77</v>
      </c>
    </row>
    <row r="289" spans="1:20" ht="18" customHeight="1" x14ac:dyDescent="0.25">
      <c r="Q289" s="354"/>
      <c r="R289" s="439"/>
      <c r="S289" s="458">
        <v>43132</v>
      </c>
      <c r="T289" s="416">
        <v>16.059999999999999</v>
      </c>
    </row>
    <row r="290" spans="1:20" ht="18" customHeight="1" x14ac:dyDescent="0.25">
      <c r="Q290" s="354"/>
      <c r="R290" s="439"/>
      <c r="S290" s="458">
        <v>43139</v>
      </c>
      <c r="T290" s="416">
        <v>4.05</v>
      </c>
    </row>
    <row r="291" spans="1:20" ht="18" customHeight="1" x14ac:dyDescent="0.25">
      <c r="Q291" s="354"/>
      <c r="R291" s="439"/>
      <c r="S291" s="458"/>
      <c r="T291" s="416"/>
    </row>
    <row r="292" spans="1:20" ht="18" customHeight="1" x14ac:dyDescent="0.25">
      <c r="Q292" s="354"/>
      <c r="R292" s="439"/>
      <c r="S292" s="458"/>
      <c r="T292" s="416"/>
    </row>
    <row r="293" spans="1:20" ht="18" customHeight="1" x14ac:dyDescent="0.25">
      <c r="Q293" s="354"/>
      <c r="R293" s="439"/>
      <c r="S293" s="458"/>
      <c r="T293" s="416"/>
    </row>
    <row r="294" spans="1:20" ht="18" customHeight="1" x14ac:dyDescent="0.25">
      <c r="Q294" s="354"/>
      <c r="R294" s="439"/>
      <c r="S294" s="458"/>
      <c r="T294" s="416"/>
    </row>
    <row r="295" spans="1:20" ht="18" customHeight="1" x14ac:dyDescent="0.25">
      <c r="Q295" s="354"/>
      <c r="R295" s="439"/>
      <c r="S295" s="458"/>
      <c r="T295" s="416"/>
    </row>
    <row r="296" spans="1:20" ht="18" customHeight="1" x14ac:dyDescent="0.25">
      <c r="A296" s="494"/>
      <c r="Q296" s="354"/>
      <c r="R296" s="439"/>
      <c r="S296" s="458"/>
      <c r="T296" s="416"/>
    </row>
    <row r="297" spans="1:20" ht="18" customHeight="1" x14ac:dyDescent="0.25">
      <c r="A297" s="495"/>
      <c r="Q297" s="354"/>
      <c r="R297" s="439"/>
      <c r="S297" s="458"/>
      <c r="T297" s="416"/>
    </row>
    <row r="298" spans="1:20" ht="18" customHeight="1" x14ac:dyDescent="0.25">
      <c r="A298" s="495"/>
      <c r="Q298" s="354"/>
      <c r="R298" s="439"/>
      <c r="S298" s="458"/>
      <c r="T298" s="416"/>
    </row>
    <row r="299" spans="1:20" ht="18" customHeight="1" x14ac:dyDescent="0.25">
      <c r="A299" s="494"/>
      <c r="Q299" s="354"/>
      <c r="R299" s="439"/>
      <c r="S299" s="458"/>
      <c r="T299" s="416"/>
    </row>
    <row r="300" spans="1:20" ht="18" customHeight="1" x14ac:dyDescent="0.25">
      <c r="A300" s="495"/>
      <c r="Q300" s="354"/>
      <c r="R300" s="439"/>
      <c r="S300" s="458"/>
      <c r="T300" s="416"/>
    </row>
    <row r="301" spans="1:20" ht="18" customHeight="1" x14ac:dyDescent="0.25">
      <c r="A301" s="495"/>
      <c r="Q301" s="354"/>
      <c r="R301" s="439"/>
      <c r="S301" s="458"/>
      <c r="T301" s="416"/>
    </row>
    <row r="302" spans="1:20" ht="18" customHeight="1" x14ac:dyDescent="0.25">
      <c r="A302" s="494"/>
      <c r="Q302" s="354" t="s">
        <v>81</v>
      </c>
      <c r="R302" s="439">
        <f>SUM(R252:R271)</f>
        <v>0.02</v>
      </c>
      <c r="S302" s="417" t="s">
        <v>81</v>
      </c>
      <c r="T302" s="416">
        <f>SUM(T252:T301)</f>
        <v>1083.5500000000004</v>
      </c>
    </row>
    <row r="303" spans="1:20" ht="18" customHeight="1" x14ac:dyDescent="0.25">
      <c r="A303" s="495"/>
    </row>
    <row r="304" spans="1:20" ht="18" customHeight="1" x14ac:dyDescent="0.25">
      <c r="A304" s="495"/>
    </row>
    <row r="305" spans="1:1" ht="18" customHeight="1" x14ac:dyDescent="0.25">
      <c r="A305" s="495"/>
    </row>
  </sheetData>
  <mergeCells count="3">
    <mergeCell ref="B12:B13"/>
    <mergeCell ref="B14:B15"/>
    <mergeCell ref="B185:B186"/>
  </mergeCells>
  <conditionalFormatting sqref="Q13">
    <cfRule type="expression" dxfId="2561" priority="7">
      <formula>#REF!&gt;0</formula>
    </cfRule>
    <cfRule type="expression" dxfId="256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R594"/>
  <sheetViews>
    <sheetView topLeftCell="I1" zoomScaleNormal="100" workbookViewId="0">
      <pane ySplit="1" topLeftCell="A575" activePane="bottomLeft" state="frozen"/>
      <selection pane="bottomLeft" activeCell="T594" sqref="T594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9.28515625" style="213" bestFit="1" customWidth="1"/>
    <col min="26" max="26" width="11.42578125" style="166" bestFit="1" customWidth="1"/>
    <col min="27" max="27" width="9.140625" style="166"/>
    <col min="28" max="28" width="11.42578125" style="166" bestFit="1" customWidth="1"/>
    <col min="29" max="16384" width="9.140625" style="166"/>
  </cols>
  <sheetData>
    <row r="1" spans="1:44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284</v>
      </c>
      <c r="H1" s="340" t="s">
        <v>283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822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285</v>
      </c>
      <c r="Y1" s="341" t="s">
        <v>983</v>
      </c>
      <c r="Z1" s="214" t="s">
        <v>150</v>
      </c>
      <c r="AA1" s="164"/>
      <c r="AB1" s="165"/>
      <c r="AC1" s="164"/>
      <c r="AD1" s="165"/>
      <c r="AE1" s="165"/>
      <c r="AF1" s="163"/>
      <c r="AG1" s="163"/>
      <c r="AH1" s="163"/>
      <c r="AI1" s="163"/>
    </row>
    <row r="2" spans="1:44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805"/>
      <c r="Z2" s="333">
        <f>LOOKUP(2,1/(M:M&lt;&gt;""),M:M)</f>
        <v>34359.799999999988</v>
      </c>
      <c r="AA2" s="164"/>
      <c r="AB2" s="165"/>
      <c r="AC2" s="164"/>
      <c r="AD2" s="165"/>
      <c r="AE2" s="165"/>
      <c r="AF2" s="163"/>
      <c r="AG2" s="163"/>
      <c r="AH2" s="163"/>
      <c r="AI2" s="163"/>
    </row>
    <row r="3" spans="1:44" ht="20.100000000000001" customHeight="1" x14ac:dyDescent="0.25">
      <c r="A3" s="750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Y3" s="805"/>
      <c r="AA3" s="164"/>
      <c r="AB3" s="165"/>
      <c r="AC3" s="164"/>
      <c r="AD3" s="165"/>
      <c r="AE3" s="165"/>
      <c r="AF3" s="163"/>
      <c r="AG3" s="163"/>
      <c r="AH3" s="163"/>
      <c r="AI3" s="163"/>
    </row>
    <row r="4" spans="1:44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805"/>
      <c r="Z4" s="163"/>
      <c r="AA4" s="164"/>
      <c r="AB4" s="165"/>
      <c r="AC4" s="164"/>
      <c r="AD4" s="165"/>
      <c r="AE4" s="165"/>
      <c r="AF4" s="163"/>
      <c r="AG4" s="163"/>
      <c r="AH4" s="163"/>
      <c r="AI4" s="163"/>
    </row>
    <row r="5" spans="1:44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805"/>
      <c r="Z5" s="163"/>
      <c r="AA5" s="164"/>
      <c r="AB5" s="165"/>
      <c r="AC5" s="164"/>
      <c r="AD5" s="165"/>
      <c r="AE5" s="165"/>
      <c r="AF5" s="163"/>
      <c r="AG5" s="163"/>
      <c r="AH5" s="163"/>
      <c r="AI5" s="163"/>
    </row>
    <row r="6" spans="1:44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805"/>
      <c r="Z6" s="163"/>
      <c r="AA6" s="164"/>
      <c r="AB6" s="165"/>
      <c r="AC6" s="164"/>
      <c r="AD6" s="165"/>
      <c r="AE6" s="165"/>
      <c r="AF6" s="163"/>
      <c r="AG6" s="163"/>
      <c r="AH6" s="163"/>
      <c r="AI6" s="163"/>
    </row>
    <row r="7" spans="1:44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806"/>
      <c r="Z7" s="163"/>
      <c r="AA7" s="164"/>
      <c r="AB7" s="165"/>
      <c r="AC7" s="164"/>
      <c r="AD7" s="165"/>
      <c r="AE7" s="165"/>
      <c r="AF7" s="163"/>
      <c r="AG7" s="163"/>
      <c r="AH7" s="163"/>
      <c r="AI7" s="163"/>
    </row>
    <row r="8" spans="1:44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806"/>
      <c r="Z8" s="163"/>
      <c r="AA8" s="164"/>
      <c r="AB8" s="165"/>
      <c r="AC8" s="164"/>
      <c r="AD8" s="165"/>
      <c r="AE8" s="165"/>
      <c r="AF8" s="163"/>
      <c r="AG8" s="163"/>
      <c r="AH8" s="163"/>
      <c r="AI8" s="163"/>
      <c r="AR8" s="557"/>
    </row>
    <row r="9" spans="1:44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806"/>
      <c r="Z9" s="163"/>
      <c r="AA9" s="164"/>
      <c r="AB9" s="165"/>
      <c r="AC9" s="164"/>
      <c r="AD9" s="165"/>
      <c r="AE9" s="165"/>
      <c r="AF9" s="163"/>
      <c r="AG9" s="163"/>
      <c r="AH9" s="163"/>
      <c r="AI9" s="163"/>
    </row>
    <row r="10" spans="1:44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806"/>
      <c r="Z10" s="163" t="s">
        <v>123</v>
      </c>
      <c r="AA10" s="164"/>
      <c r="AB10" s="165"/>
      <c r="AC10" s="164"/>
      <c r="AD10" s="165"/>
      <c r="AE10" s="165"/>
      <c r="AF10" s="163"/>
      <c r="AG10" s="163"/>
      <c r="AH10" s="163"/>
      <c r="AI10" s="163"/>
    </row>
    <row r="11" spans="1:44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806"/>
      <c r="Z11" s="163"/>
      <c r="AA11" s="164"/>
      <c r="AB11" s="165"/>
      <c r="AC11" s="164"/>
      <c r="AD11" s="165"/>
      <c r="AE11" s="165"/>
      <c r="AF11" s="163"/>
      <c r="AG11" s="163"/>
      <c r="AH11" s="163"/>
      <c r="AI11" s="163"/>
    </row>
    <row r="12" spans="1:44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3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805"/>
      <c r="Z12" s="163"/>
      <c r="AA12" s="164"/>
      <c r="AB12" s="165"/>
      <c r="AC12" s="164"/>
      <c r="AD12" s="165"/>
      <c r="AE12" s="165"/>
      <c r="AF12" s="163"/>
      <c r="AG12" s="163"/>
      <c r="AH12" s="163"/>
      <c r="AI12" s="163"/>
    </row>
    <row r="13" spans="1:44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805"/>
      <c r="Z13" s="163"/>
      <c r="AA13" s="164"/>
      <c r="AB13" s="165"/>
      <c r="AC13" s="164"/>
      <c r="AD13" s="165"/>
      <c r="AE13" s="165"/>
      <c r="AF13" s="163"/>
      <c r="AG13" s="163"/>
      <c r="AH13" s="163"/>
      <c r="AI13" s="163"/>
    </row>
    <row r="14" spans="1:44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Y14" s="805"/>
      <c r="AA14" s="164"/>
      <c r="AB14" s="165"/>
      <c r="AC14" s="164"/>
      <c r="AD14" s="165"/>
      <c r="AE14" s="165"/>
      <c r="AF14" s="163"/>
      <c r="AG14" s="163"/>
      <c r="AH14" s="163"/>
      <c r="AI14" s="163"/>
    </row>
    <row r="15" spans="1:44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805"/>
      <c r="Z15" s="163"/>
      <c r="AA15" s="164"/>
      <c r="AB15" s="165"/>
      <c r="AC15" s="164"/>
      <c r="AD15" s="165"/>
      <c r="AE15" s="165"/>
      <c r="AF15" s="163"/>
      <c r="AG15" s="163"/>
      <c r="AH15" s="163"/>
      <c r="AI15" s="163"/>
    </row>
    <row r="16" spans="1:44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805"/>
      <c r="Z16" s="163"/>
      <c r="AA16" s="164"/>
      <c r="AB16" s="165"/>
      <c r="AC16" s="164"/>
      <c r="AD16" s="165"/>
      <c r="AE16" s="165"/>
      <c r="AF16" s="163"/>
      <c r="AG16" s="163"/>
      <c r="AH16" s="163"/>
      <c r="AI16" s="163"/>
    </row>
    <row r="17" spans="1:35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806"/>
      <c r="Z17" s="163"/>
      <c r="AA17" s="164"/>
      <c r="AB17" s="165"/>
      <c r="AC17" s="164"/>
      <c r="AD17" s="165"/>
      <c r="AE17" s="165"/>
      <c r="AF17" s="163"/>
      <c r="AG17" s="163"/>
      <c r="AH17" s="163"/>
      <c r="AI17" s="163"/>
    </row>
    <row r="18" spans="1:35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806"/>
      <c r="Z18" s="163"/>
      <c r="AA18" s="164"/>
      <c r="AB18" s="165"/>
      <c r="AC18" s="164"/>
      <c r="AD18" s="165"/>
      <c r="AE18" s="165"/>
      <c r="AF18" s="163"/>
      <c r="AG18" s="163"/>
      <c r="AH18" s="163"/>
      <c r="AI18" s="163"/>
    </row>
    <row r="19" spans="1:35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806"/>
      <c r="Z19" s="163"/>
      <c r="AA19" s="164"/>
      <c r="AB19" s="165"/>
      <c r="AC19" s="164"/>
      <c r="AD19" s="165"/>
      <c r="AE19" s="165"/>
      <c r="AF19" s="163"/>
      <c r="AG19" s="163"/>
      <c r="AH19" s="163"/>
      <c r="AI19" s="163"/>
    </row>
    <row r="20" spans="1:35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806"/>
      <c r="Z20" s="163"/>
      <c r="AA20" s="164"/>
      <c r="AB20" s="165"/>
      <c r="AC20" s="164"/>
      <c r="AD20" s="165"/>
      <c r="AE20" s="165"/>
      <c r="AF20" s="163"/>
      <c r="AG20" s="163"/>
      <c r="AH20" s="163"/>
      <c r="AI20" s="163"/>
    </row>
    <row r="21" spans="1:35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805"/>
      <c r="Z21" s="163"/>
      <c r="AA21" s="164"/>
      <c r="AB21" s="165"/>
      <c r="AC21" s="164"/>
      <c r="AD21" s="165"/>
      <c r="AE21" s="165"/>
      <c r="AF21" s="163"/>
      <c r="AG21" s="163"/>
      <c r="AH21" s="163"/>
      <c r="AI21" s="163"/>
    </row>
    <row r="22" spans="1:35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805"/>
      <c r="Z22" s="163"/>
      <c r="AA22" s="164"/>
      <c r="AB22" s="165"/>
      <c r="AC22" s="164"/>
      <c r="AD22" s="165"/>
      <c r="AE22" s="165"/>
      <c r="AF22" s="163"/>
      <c r="AG22" s="163"/>
      <c r="AH22" s="163"/>
      <c r="AI22" s="163"/>
    </row>
    <row r="23" spans="1:35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805"/>
      <c r="Z23" s="163"/>
      <c r="AA23" s="164"/>
      <c r="AB23" s="165"/>
      <c r="AC23" s="164"/>
      <c r="AD23" s="165"/>
      <c r="AE23" s="165"/>
      <c r="AF23" s="163"/>
      <c r="AG23" s="163"/>
      <c r="AH23" s="163"/>
      <c r="AI23" s="163"/>
    </row>
    <row r="24" spans="1:35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805"/>
      <c r="Z24" s="163"/>
      <c r="AA24" s="164"/>
      <c r="AB24" s="165"/>
      <c r="AC24" s="164"/>
      <c r="AD24" s="165"/>
      <c r="AE24" s="165"/>
      <c r="AF24" s="163"/>
      <c r="AG24" s="163"/>
      <c r="AH24" s="163"/>
      <c r="AI24" s="163"/>
    </row>
    <row r="25" spans="1:35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805"/>
      <c r="Z25" s="163"/>
      <c r="AA25" s="164"/>
      <c r="AB25" s="165"/>
      <c r="AC25" s="164"/>
      <c r="AD25" s="165"/>
      <c r="AE25" s="165"/>
      <c r="AF25" s="163"/>
      <c r="AG25" s="163"/>
      <c r="AH25" s="163"/>
      <c r="AI25" s="163"/>
    </row>
    <row r="26" spans="1:35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807">
        <f>-(E26-N26)</f>
        <v>-7.198316363795132E-2</v>
      </c>
      <c r="Z26" s="163"/>
      <c r="AA26" s="164"/>
      <c r="AB26" s="165"/>
      <c r="AC26" s="164"/>
      <c r="AD26" s="165"/>
      <c r="AE26" s="165"/>
      <c r="AF26" s="163"/>
      <c r="AG26" s="163"/>
      <c r="AH26" s="163"/>
      <c r="AI26" s="163"/>
    </row>
    <row r="27" spans="1:35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807">
        <f t="shared" ref="Y27:Y90" si="12">-(E27-N27)</f>
        <v>-8.1404279521864464E-2</v>
      </c>
      <c r="Z27" s="163"/>
      <c r="AA27" s="164"/>
      <c r="AB27" s="165"/>
      <c r="AC27" s="164"/>
      <c r="AD27" s="165"/>
      <c r="AE27" s="165"/>
      <c r="AF27" s="163"/>
      <c r="AG27" s="163"/>
      <c r="AH27" s="163"/>
      <c r="AI27" s="163"/>
    </row>
    <row r="28" spans="1:35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807">
        <f t="shared" si="12"/>
        <v>-9.6970138393046537E-2</v>
      </c>
      <c r="Z28" s="164"/>
      <c r="AA28" s="165"/>
      <c r="AB28" s="165"/>
      <c r="AC28" s="163"/>
      <c r="AD28" s="163"/>
      <c r="AE28" s="163"/>
      <c r="AF28" s="163"/>
    </row>
    <row r="29" spans="1:35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3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807">
        <f t="shared" si="12"/>
        <v>-8.9697313072625323E-2</v>
      </c>
      <c r="Z29" s="164"/>
      <c r="AA29" s="165"/>
      <c r="AB29" s="165"/>
      <c r="AC29" s="163"/>
      <c r="AD29" s="163"/>
      <c r="AE29" s="163"/>
      <c r="AF29" s="163"/>
    </row>
    <row r="30" spans="1:35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3"/>
        <v>-2734.2399999999907</v>
      </c>
      <c r="L30" s="171">
        <f t="shared" si="7"/>
        <v>-8.4534625484500754E-3</v>
      </c>
      <c r="M30" s="174">
        <f t="shared" ref="M30:M61" si="14">I30-J30</f>
        <v>-69288.080000000016</v>
      </c>
      <c r="N30" s="184">
        <f t="shared" ref="N30:N61" si="15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807">
        <f t="shared" si="12"/>
        <v>-9.6280110820199605E-2</v>
      </c>
      <c r="Z30" s="164"/>
      <c r="AA30" s="165"/>
      <c r="AB30" s="165"/>
      <c r="AC30" s="163"/>
      <c r="AD30" s="163"/>
      <c r="AE30" s="163"/>
      <c r="AF30" s="163"/>
    </row>
    <row r="31" spans="1:35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3"/>
        <v>-11844</v>
      </c>
      <c r="L31" s="171">
        <f t="shared" si="7"/>
        <v>-3.693033922780295E-2</v>
      </c>
      <c r="M31" s="168">
        <f t="shared" si="14"/>
        <v>-81132.080000000016</v>
      </c>
      <c r="N31" s="183">
        <f t="shared" si="15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807">
        <f t="shared" si="12"/>
        <v>-0.10307197433994887</v>
      </c>
      <c r="Z31" s="164"/>
      <c r="AA31" s="165"/>
      <c r="AB31" s="165"/>
      <c r="AC31" s="163"/>
      <c r="AD31" s="163"/>
      <c r="AE31" s="163"/>
      <c r="AF31" s="163"/>
    </row>
    <row r="32" spans="1:35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3"/>
        <v>3165.0800000000163</v>
      </c>
      <c r="L32" s="171">
        <f t="shared" si="7"/>
        <v>1.0247357511262472E-2</v>
      </c>
      <c r="M32" s="168">
        <f t="shared" si="14"/>
        <v>-77967</v>
      </c>
      <c r="N32" s="183">
        <f t="shared" si="15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807">
        <f t="shared" si="12"/>
        <v>-9.6059864362725733E-2</v>
      </c>
      <c r="Z32" s="164"/>
      <c r="AA32" s="165"/>
      <c r="AB32" s="165"/>
      <c r="AC32" s="163"/>
      <c r="AD32" s="163"/>
      <c r="AE32" s="163"/>
      <c r="AF32" s="163"/>
    </row>
    <row r="33" spans="1:32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4">
        <v>320653.48</v>
      </c>
      <c r="J33" s="169">
        <v>390000</v>
      </c>
      <c r="K33" s="169">
        <f t="shared" si="13"/>
        <v>8620.4799999999814</v>
      </c>
      <c r="L33" s="171">
        <f t="shared" si="7"/>
        <v>2.762682152208254E-2</v>
      </c>
      <c r="M33" s="168">
        <f t="shared" si="14"/>
        <v>-69346.520000000019</v>
      </c>
      <c r="N33" s="183">
        <f t="shared" si="15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807">
        <f t="shared" si="12"/>
        <v>-9.1050493113008141E-2</v>
      </c>
      <c r="Z33" s="164"/>
      <c r="AA33" s="165"/>
      <c r="AB33" s="165"/>
      <c r="AC33" s="163"/>
      <c r="AD33" s="163"/>
      <c r="AE33" s="163"/>
      <c r="AF33" s="163"/>
    </row>
    <row r="34" spans="1:32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3"/>
        <v>1310.0800000000163</v>
      </c>
      <c r="L34" s="171">
        <f t="shared" si="7"/>
        <v>4.0856565785595605E-3</v>
      </c>
      <c r="M34" s="168">
        <f t="shared" si="14"/>
        <v>-68036.44</v>
      </c>
      <c r="N34" s="183">
        <f t="shared" si="15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  <c r="Y34" s="807">
        <f t="shared" si="12"/>
        <v>-8.9493981002781081E-2</v>
      </c>
    </row>
    <row r="35" spans="1:32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3"/>
        <v>14363.450000000012</v>
      </c>
      <c r="L35" s="171">
        <f t="shared" si="7"/>
        <v>4.4612036219254164E-2</v>
      </c>
      <c r="M35" s="168">
        <f t="shared" si="14"/>
        <v>-53672.989999999991</v>
      </c>
      <c r="N35" s="183">
        <f t="shared" si="15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  <c r="Y35" s="807">
        <f t="shared" si="12"/>
        <v>-6.5763687875723315E-2</v>
      </c>
    </row>
    <row r="36" spans="1:32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3"/>
        <v>11722.520000000019</v>
      </c>
      <c r="L36" s="171">
        <f t="shared" si="7"/>
        <v>3.4854530416691835E-2</v>
      </c>
      <c r="M36" s="174">
        <f t="shared" si="14"/>
        <v>-41950.469999999972</v>
      </c>
      <c r="N36" s="184">
        <f t="shared" si="15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  <c r="Y36" s="807">
        <f t="shared" si="12"/>
        <v>-5.2681458450474283E-2</v>
      </c>
    </row>
    <row r="37" spans="1:32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3"/>
        <v>1393.0899999999674</v>
      </c>
      <c r="L37" s="171">
        <f t="shared" si="7"/>
        <v>4.0025625088474254E-3</v>
      </c>
      <c r="M37" s="174">
        <f t="shared" si="14"/>
        <v>-40557.380000000005</v>
      </c>
      <c r="N37" s="184">
        <f t="shared" si="15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  <c r="Y37" s="807">
        <f t="shared" si="12"/>
        <v>-4.5718135079192507E-2</v>
      </c>
    </row>
    <row r="38" spans="1:32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3"/>
        <v>2229.6699999999837</v>
      </c>
      <c r="L38" s="171">
        <f t="shared" si="7"/>
        <v>6.3806469857625942E-3</v>
      </c>
      <c r="M38" s="174">
        <f t="shared" si="14"/>
        <v>-38327.710000000021</v>
      </c>
      <c r="N38" s="184">
        <f t="shared" si="15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  <c r="Y38" s="807">
        <f t="shared" si="12"/>
        <v>-4.7568430395647732E-2</v>
      </c>
    </row>
    <row r="39" spans="1:32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3"/>
        <v>2855.2800000000279</v>
      </c>
      <c r="L39" s="171">
        <f t="shared" si="7"/>
        <v>8.119149791415264E-3</v>
      </c>
      <c r="M39" s="174">
        <f t="shared" si="14"/>
        <v>-35472.429999999993</v>
      </c>
      <c r="N39" s="184">
        <f t="shared" si="15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  <c r="Y39" s="807">
        <f t="shared" si="12"/>
        <v>-4.861842544023328E-2</v>
      </c>
    </row>
    <row r="40" spans="1:32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3"/>
        <v>-2835.6500000000233</v>
      </c>
      <c r="L40" s="171">
        <f t="shared" si="7"/>
        <v>-7.9983906470236527E-3</v>
      </c>
      <c r="M40" s="241">
        <f t="shared" si="14"/>
        <v>-38308.080000000016</v>
      </c>
      <c r="N40" s="184">
        <f t="shared" si="15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  <c r="Y40" s="807">
        <f t="shared" si="12"/>
        <v>-5.6583754108413285E-2</v>
      </c>
    </row>
    <row r="41" spans="1:32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3"/>
        <v>-2825.1399999999558</v>
      </c>
      <c r="L41" s="171">
        <f t="shared" si="7"/>
        <v>-8.0329966068027839E-3</v>
      </c>
      <c r="M41" s="175">
        <f t="shared" si="14"/>
        <v>-41133.219999999972</v>
      </c>
      <c r="N41" s="183">
        <f t="shared" si="15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  <c r="Y41" s="807">
        <f t="shared" si="12"/>
        <v>-6.5050092050311176E-2</v>
      </c>
    </row>
    <row r="42" spans="1:32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3"/>
        <v>-1358.1900000000023</v>
      </c>
      <c r="L42" s="171">
        <f t="shared" si="7"/>
        <v>-3.8931479804411363E-3</v>
      </c>
      <c r="M42" s="175">
        <f t="shared" si="14"/>
        <v>-42491.409999999974</v>
      </c>
      <c r="N42" s="183">
        <f t="shared" si="15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  <c r="Y42" s="807">
        <f t="shared" si="12"/>
        <v>-6.1983097588199039E-2</v>
      </c>
    </row>
    <row r="43" spans="1:32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3"/>
        <v>2841.0599999999977</v>
      </c>
      <c r="L43" s="171">
        <f t="shared" si="7"/>
        <v>8.1755101363105796E-3</v>
      </c>
      <c r="M43" s="175">
        <f t="shared" si="14"/>
        <v>-39650.349999999977</v>
      </c>
      <c r="N43" s="183">
        <f t="shared" si="15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  <c r="Y43" s="807">
        <f t="shared" si="12"/>
        <v>-5.0203550860806828E-2</v>
      </c>
    </row>
    <row r="44" spans="1:32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3"/>
        <v>3336.929999999993</v>
      </c>
      <c r="L44" s="171">
        <f t="shared" si="7"/>
        <v>9.5245706681881745E-3</v>
      </c>
      <c r="M44" s="175">
        <f t="shared" si="14"/>
        <v>-36313.419999999984</v>
      </c>
      <c r="N44" s="183">
        <f t="shared" si="15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  <c r="Y44" s="807">
        <f t="shared" si="12"/>
        <v>-5.5735712625964641E-2</v>
      </c>
    </row>
    <row r="45" spans="1:32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6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3"/>
        <v>-1718.2399999999907</v>
      </c>
      <c r="L45" s="171">
        <f t="shared" si="7"/>
        <v>-4.8580865013311799E-3</v>
      </c>
      <c r="M45" s="175">
        <f t="shared" si="14"/>
        <v>-38031.659999999974</v>
      </c>
      <c r="N45" s="183">
        <f t="shared" si="15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  <c r="Y45" s="807">
        <f t="shared" si="12"/>
        <v>-6.4541106146265084E-2</v>
      </c>
    </row>
    <row r="46" spans="1:32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6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3"/>
        <v>1648.4499999999534</v>
      </c>
      <c r="L46" s="171">
        <f t="shared" si="7"/>
        <v>4.6835178414057167E-3</v>
      </c>
      <c r="M46" s="182">
        <f t="shared" si="14"/>
        <v>-36383.210000000021</v>
      </c>
      <c r="N46" s="184">
        <f t="shared" si="15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  <c r="Y46" s="807">
        <f t="shared" si="12"/>
        <v>-6.0575912081152178E-2</v>
      </c>
    </row>
    <row r="47" spans="1:32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6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3"/>
        <v>-6423.789999999979</v>
      </c>
      <c r="L47" s="171">
        <f t="shared" si="7"/>
        <v>-1.8165964348016334E-2</v>
      </c>
      <c r="M47" s="182">
        <f t="shared" si="14"/>
        <v>-42807</v>
      </c>
      <c r="N47" s="184">
        <f t="shared" si="15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  <c r="Y47" s="807">
        <f t="shared" si="12"/>
        <v>-7.4283188598949126E-2</v>
      </c>
    </row>
    <row r="48" spans="1:32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6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3"/>
        <v>-6881.6500000000233</v>
      </c>
      <c r="L48" s="171">
        <f t="shared" si="7"/>
        <v>-1.9539428665532883E-2</v>
      </c>
      <c r="M48" s="182">
        <f t="shared" si="14"/>
        <v>-49688.650000000023</v>
      </c>
      <c r="N48" s="184">
        <f t="shared" si="15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  <c r="Y48" s="807">
        <f t="shared" si="12"/>
        <v>-8.4505866167405547E-2</v>
      </c>
    </row>
    <row r="49" spans="1:26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6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3"/>
        <v>3246.5400000000373</v>
      </c>
      <c r="L49" s="171">
        <f t="shared" si="7"/>
        <v>9.2675843931406664E-3</v>
      </c>
      <c r="M49" s="182">
        <f t="shared" si="14"/>
        <v>-46442.109999999986</v>
      </c>
      <c r="N49" s="184">
        <f t="shared" si="15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  <c r="Y49" s="807">
        <f t="shared" si="12"/>
        <v>-9.2356678131599521E-2</v>
      </c>
    </row>
    <row r="50" spans="1:26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6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7">I50-I49-J50+J49</f>
        <v>1390.6900000000023</v>
      </c>
      <c r="L50" s="171">
        <f t="shared" si="7"/>
        <v>3.93341526051081E-3</v>
      </c>
      <c r="M50" s="182">
        <f t="shared" si="14"/>
        <v>-45051.419999999984</v>
      </c>
      <c r="N50" s="184">
        <f t="shared" si="15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  <c r="Y50" s="807">
        <f t="shared" si="12"/>
        <v>-9.9648393610281369E-2</v>
      </c>
    </row>
    <row r="51" spans="1:26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6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7"/>
        <v>-7997.8600000000442</v>
      </c>
      <c r="L51" s="171">
        <f t="shared" si="7"/>
        <v>-2.2532446812437011E-2</v>
      </c>
      <c r="M51" s="175">
        <f t="shared" si="14"/>
        <v>-53049.280000000028</v>
      </c>
      <c r="N51" s="183">
        <f t="shared" si="15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  <c r="Y51" s="807">
        <f t="shared" si="12"/>
        <v>-0.11775476142386938</v>
      </c>
    </row>
    <row r="52" spans="1:26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6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7"/>
        <v>-1362.2599999999511</v>
      </c>
      <c r="L52" s="171">
        <f t="shared" si="7"/>
        <v>-3.9263789393489401E-3</v>
      </c>
      <c r="M52" s="175">
        <f t="shared" si="14"/>
        <v>-54411.539999999979</v>
      </c>
      <c r="N52" s="183">
        <f t="shared" si="15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  <c r="Y52" s="807">
        <f t="shared" si="12"/>
        <v>-0.11864428730142107</v>
      </c>
    </row>
    <row r="53" spans="1:26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6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7"/>
        <v>7759.539999999979</v>
      </c>
      <c r="L53" s="171">
        <f t="shared" si="7"/>
        <v>2.2453122421969698E-2</v>
      </c>
      <c r="M53" s="175">
        <f t="shared" si="14"/>
        <v>-46652</v>
      </c>
      <c r="N53" s="183">
        <f t="shared" si="15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  <c r="Y53" s="807">
        <f t="shared" si="12"/>
        <v>-0.11086051311809131</v>
      </c>
    </row>
    <row r="54" spans="1:26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7"/>
        <v>-4220.4500000000116</v>
      </c>
      <c r="L54" s="171">
        <f t="shared" si="7"/>
        <v>-1.1944174015418261E-2</v>
      </c>
      <c r="M54" s="175">
        <f t="shared" si="14"/>
        <v>-50872.450000000012</v>
      </c>
      <c r="N54" s="183">
        <f t="shared" si="15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  <c r="Y54" s="807">
        <f t="shared" si="12"/>
        <v>-0.12098356407079387</v>
      </c>
    </row>
    <row r="55" spans="1:26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4">
        <v>351138.5</v>
      </c>
      <c r="J55" s="169">
        <v>400000</v>
      </c>
      <c r="K55" s="169">
        <f t="shared" si="17"/>
        <v>2010.9500000000116</v>
      </c>
      <c r="L55" s="171">
        <f t="shared" si="7"/>
        <v>5.759929286588846E-3</v>
      </c>
      <c r="M55" s="175">
        <f t="shared" si="14"/>
        <v>-48861.5</v>
      </c>
      <c r="N55" s="183">
        <f t="shared" si="15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  <c r="Y55" s="807">
        <f t="shared" si="12"/>
        <v>-0.11117602887597272</v>
      </c>
    </row>
    <row r="56" spans="1:26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8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9">I56-I55-J56+J55</f>
        <v>5810.3099999999977</v>
      </c>
      <c r="L56" s="171">
        <f t="shared" si="7"/>
        <v>1.6547060490376297E-2</v>
      </c>
      <c r="M56" s="182">
        <f t="shared" si="14"/>
        <v>-43051.19</v>
      </c>
      <c r="N56" s="184">
        <f t="shared" si="15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  <c r="Y56" s="807">
        <f t="shared" si="12"/>
        <v>-0.10839375190683212</v>
      </c>
    </row>
    <row r="57" spans="1:26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8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9"/>
        <v>5320.6300000000047</v>
      </c>
      <c r="L57" s="171">
        <f t="shared" si="7"/>
        <v>1.4905862832264393E-2</v>
      </c>
      <c r="M57" s="182">
        <f t="shared" si="14"/>
        <v>-37730.559999999998</v>
      </c>
      <c r="N57" s="184">
        <f t="shared" si="15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  <c r="Y57" s="807">
        <f t="shared" si="12"/>
        <v>-9.782233805292892E-2</v>
      </c>
    </row>
    <row r="58" spans="1:26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8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9"/>
        <v>-615.02000000001863</v>
      </c>
      <c r="L58" s="171">
        <f t="shared" si="7"/>
        <v>-1.697686672107972E-3</v>
      </c>
      <c r="M58" s="182">
        <f t="shared" si="14"/>
        <v>-38345.580000000016</v>
      </c>
      <c r="N58" s="184">
        <f t="shared" si="15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  <c r="Y58" s="807">
        <f t="shared" si="12"/>
        <v>-9.5802117082057034E-2</v>
      </c>
    </row>
    <row r="59" spans="1:26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8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9"/>
        <v>-9986.9799999999814</v>
      </c>
      <c r="L59" s="171">
        <f t="shared" si="7"/>
        <v>-2.7614704667510995E-2</v>
      </c>
      <c r="M59" s="182">
        <f t="shared" si="14"/>
        <v>-48332.56</v>
      </c>
      <c r="N59" s="184">
        <f t="shared" si="15"/>
        <v>-0.12083139999999999</v>
      </c>
      <c r="O59" s="183">
        <f t="shared" si="10"/>
        <v>-0.55167086062500004</v>
      </c>
      <c r="P59" s="182" t="b">
        <f t="shared" ref="P59:P90" si="20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  <c r="Y59" s="807">
        <f t="shared" si="12"/>
        <v>-0.1196375490458704</v>
      </c>
    </row>
    <row r="60" spans="1:26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8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9"/>
        <v>-213.19000000000233</v>
      </c>
      <c r="L60" s="171">
        <f t="shared" si="7"/>
        <v>-6.0622615502874632E-4</v>
      </c>
      <c r="M60" s="182">
        <f t="shared" si="14"/>
        <v>-48545.75</v>
      </c>
      <c r="N60" s="184">
        <f t="shared" si="15"/>
        <v>-0.121364375</v>
      </c>
      <c r="O60" s="183">
        <f t="shared" si="10"/>
        <v>-0.54726343171296288</v>
      </c>
      <c r="P60" s="182" t="b">
        <f t="shared" si="20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807">
        <f t="shared" si="12"/>
        <v>-0.11982330842972914</v>
      </c>
      <c r="Z60" s="213"/>
    </row>
    <row r="61" spans="1:26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8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9"/>
        <v>-4439.109999999986</v>
      </c>
      <c r="L61" s="171">
        <f t="shared" si="7"/>
        <v>-1.2630690907849275E-2</v>
      </c>
      <c r="M61" s="175">
        <f t="shared" si="14"/>
        <v>-52984.859999999986</v>
      </c>
      <c r="N61" s="183">
        <f t="shared" si="15"/>
        <v>-0.13246214999999997</v>
      </c>
      <c r="O61" s="183">
        <f t="shared" si="10"/>
        <v>-0.57597381294642847</v>
      </c>
      <c r="P61" s="175" t="b">
        <f t="shared" si="20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  <c r="Y61" s="807">
        <f t="shared" si="12"/>
        <v>-0.12111343136831482</v>
      </c>
    </row>
    <row r="62" spans="1:26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8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9"/>
        <v>-526.79999999998836</v>
      </c>
      <c r="L62" s="171">
        <f t="shared" si="7"/>
        <v>-1.5180893836504894E-3</v>
      </c>
      <c r="M62" s="175">
        <f t="shared" ref="M62:M93" si="21">I62-J62</f>
        <v>-53511.659999999974</v>
      </c>
      <c r="N62" s="183">
        <f t="shared" ref="N62:N93" si="22">M62/J62</f>
        <v>-0.13377914999999993</v>
      </c>
      <c r="O62" s="183">
        <f t="shared" si="10"/>
        <v>-0.57485687691176446</v>
      </c>
      <c r="P62" s="175" t="b">
        <f t="shared" si="20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  <c r="Y62" s="807">
        <f t="shared" si="12"/>
        <v>-0.1239239341555524</v>
      </c>
    </row>
    <row r="63" spans="1:26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3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9"/>
        <v>-5103.7200000000303</v>
      </c>
      <c r="L63" s="171">
        <f t="shared" si="7"/>
        <v>-1.472984632036977E-2</v>
      </c>
      <c r="M63" s="175">
        <f t="shared" si="21"/>
        <v>-58615.380000000005</v>
      </c>
      <c r="N63" s="183">
        <f t="shared" si="22"/>
        <v>-0.14653845000000001</v>
      </c>
      <c r="O63" s="183">
        <f t="shared" si="10"/>
        <v>-0.62236242863372093</v>
      </c>
      <c r="P63" s="175" t="b">
        <f t="shared" si="20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  <c r="Y63" s="807">
        <f t="shared" si="12"/>
        <v>-0.13348694793573179</v>
      </c>
    </row>
    <row r="64" spans="1:26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3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9"/>
        <v>-5884</v>
      </c>
      <c r="L64" s="171">
        <f t="shared" si="7"/>
        <v>-1.7235691520022196E-2</v>
      </c>
      <c r="M64" s="175">
        <f t="shared" si="21"/>
        <v>-64499.380000000005</v>
      </c>
      <c r="N64" s="183">
        <f t="shared" si="22"/>
        <v>-0.16124845000000002</v>
      </c>
      <c r="O64" s="183">
        <f t="shared" si="10"/>
        <v>-0.67696547543103458</v>
      </c>
      <c r="P64" s="175" t="b">
        <f t="shared" si="20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  <c r="Y64" s="807">
        <f t="shared" si="12"/>
        <v>-0.13438918172123818</v>
      </c>
    </row>
    <row r="65" spans="1:25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3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9"/>
        <v>454.38000000000466</v>
      </c>
      <c r="L65" s="171">
        <f t="shared" si="7"/>
        <v>1.3543343079366133E-3</v>
      </c>
      <c r="M65" s="175">
        <f t="shared" si="21"/>
        <v>-64045</v>
      </c>
      <c r="N65" s="183">
        <f t="shared" si="22"/>
        <v>-0.16011249999999999</v>
      </c>
      <c r="O65" s="183">
        <f t="shared" si="10"/>
        <v>-0.66455784801136364</v>
      </c>
      <c r="P65" s="175" t="b">
        <f t="shared" si="20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  <c r="Y65" s="807">
        <f t="shared" si="12"/>
        <v>-0.12234685627176038</v>
      </c>
    </row>
    <row r="66" spans="1:25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3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9"/>
        <v>6879.390000000014</v>
      </c>
      <c r="L66" s="171">
        <f t="shared" si="7"/>
        <v>2.047711747108992E-2</v>
      </c>
      <c r="M66" s="182">
        <f t="shared" si="21"/>
        <v>-57165.609999999986</v>
      </c>
      <c r="N66" s="184">
        <f t="shared" si="22"/>
        <v>-0.14291402499999997</v>
      </c>
      <c r="O66" s="183">
        <f t="shared" si="10"/>
        <v>-0.57361920473901085</v>
      </c>
      <c r="P66" s="182" t="b">
        <f t="shared" si="20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  <c r="Y66" s="807">
        <f t="shared" si="12"/>
        <v>-0.11948886185622418</v>
      </c>
    </row>
    <row r="67" spans="1:25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3"/>
        <v>-2.4733167177184604E-2</v>
      </c>
      <c r="F67" s="219">
        <v>4986.01</v>
      </c>
      <c r="G67" s="171">
        <f t="shared" ref="G67:G131" si="24">(F67-F66)/F66</f>
        <v>2.7885776648978807E-4</v>
      </c>
      <c r="H67" s="203">
        <f t="shared" ref="H67:H84" si="25">(F67-F$2)/F$2</f>
        <v>-2.0757310917768054E-2</v>
      </c>
      <c r="I67" s="221">
        <v>341363.07</v>
      </c>
      <c r="J67" s="173">
        <v>400000</v>
      </c>
      <c r="K67" s="173">
        <f t="shared" si="19"/>
        <v>-1471.320000000007</v>
      </c>
      <c r="L67" s="171">
        <f t="shared" si="7"/>
        <v>-4.2916348036146747E-3</v>
      </c>
      <c r="M67" s="182">
        <f t="shared" si="21"/>
        <v>-58636.929999999993</v>
      </c>
      <c r="N67" s="184">
        <f t="shared" si="22"/>
        <v>-0.146592325</v>
      </c>
      <c r="O67" s="183">
        <f t="shared" si="10"/>
        <v>-0.58198746419836955</v>
      </c>
      <c r="P67" s="182" t="b">
        <f t="shared" si="20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  <c r="Y67" s="807">
        <f t="shared" si="12"/>
        <v>-0.12185915782281539</v>
      </c>
    </row>
    <row r="68" spans="1:25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6">(C68-C67)/C67</f>
        <v>1.6162384658902417E-2</v>
      </c>
      <c r="E68" s="209">
        <f t="shared" si="23"/>
        <v>-8.970529480032784E-3</v>
      </c>
      <c r="F68" s="219">
        <v>5075.2</v>
      </c>
      <c r="G68" s="171">
        <f t="shared" si="24"/>
        <v>1.7888050766043308E-2</v>
      </c>
      <c r="H68" s="203">
        <f t="shared" si="25"/>
        <v>-3.2405679831883261E-3</v>
      </c>
      <c r="I68" s="221">
        <v>349578.29</v>
      </c>
      <c r="J68" s="173">
        <v>400000</v>
      </c>
      <c r="K68" s="173">
        <f t="shared" si="19"/>
        <v>8215.2199999999721</v>
      </c>
      <c r="L68" s="171">
        <f t="shared" ref="L68:L131" si="27">K68/I67</f>
        <v>2.4065930740545461E-2</v>
      </c>
      <c r="M68" s="182">
        <f t="shared" si="21"/>
        <v>-50421.710000000021</v>
      </c>
      <c r="N68" s="184">
        <f t="shared" si="22"/>
        <v>-0.12605427500000005</v>
      </c>
      <c r="O68" s="183">
        <f t="shared" si="10"/>
        <v>-0.4950679993951615</v>
      </c>
      <c r="P68" s="182" t="b">
        <f t="shared" si="20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  <c r="Y68" s="807">
        <f t="shared" si="12"/>
        <v>-0.11708374551996727</v>
      </c>
    </row>
    <row r="69" spans="1:25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6"/>
        <v>-1.1230670288638524E-3</v>
      </c>
      <c r="E69" s="209">
        <f t="shared" si="23"/>
        <v>-1.0083522003006161E-2</v>
      </c>
      <c r="F69" s="219">
        <v>5073.63</v>
      </c>
      <c r="G69" s="171">
        <f t="shared" si="24"/>
        <v>-3.0934741488014442E-4</v>
      </c>
      <c r="H69" s="203">
        <f t="shared" si="25"/>
        <v>-3.5489129367401282E-3</v>
      </c>
      <c r="I69" s="221">
        <v>351509.95</v>
      </c>
      <c r="J69" s="173">
        <v>400000</v>
      </c>
      <c r="K69" s="173">
        <f t="shared" si="19"/>
        <v>1931.6600000000326</v>
      </c>
      <c r="L69" s="171">
        <f t="shared" si="27"/>
        <v>5.5256863920240375E-3</v>
      </c>
      <c r="M69" s="182">
        <f t="shared" si="21"/>
        <v>-48490.049999999988</v>
      </c>
      <c r="N69" s="184">
        <f t="shared" si="22"/>
        <v>-0.12122512499999998</v>
      </c>
      <c r="O69" s="183">
        <f t="shared" si="10"/>
        <v>-0.47103698836436159</v>
      </c>
      <c r="P69" s="182" t="b">
        <f t="shared" si="20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  <c r="Y69" s="807">
        <f t="shared" si="12"/>
        <v>-0.11114160299699381</v>
      </c>
    </row>
    <row r="70" spans="1:25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6"/>
        <v>3.8102285176146392E-3</v>
      </c>
      <c r="E70" s="209">
        <f t="shared" si="23"/>
        <v>-6.3117140084853699E-3</v>
      </c>
      <c r="F70" s="219">
        <v>5104.92</v>
      </c>
      <c r="G70" s="171">
        <f t="shared" si="24"/>
        <v>6.1671820767379495E-3</v>
      </c>
      <c r="H70" s="203">
        <f t="shared" si="25"/>
        <v>2.5963823477424546E-3</v>
      </c>
      <c r="I70" s="221">
        <v>349809.33</v>
      </c>
      <c r="J70" s="173">
        <v>400000</v>
      </c>
      <c r="K70" s="173">
        <f t="shared" si="19"/>
        <v>-1700.6199999999953</v>
      </c>
      <c r="L70" s="171">
        <f t="shared" si="27"/>
        <v>-4.8380422801687275E-3</v>
      </c>
      <c r="M70" s="182">
        <f t="shared" si="21"/>
        <v>-50190.669999999984</v>
      </c>
      <c r="N70" s="184">
        <f t="shared" si="22"/>
        <v>-0.12547667499999995</v>
      </c>
      <c r="O70" s="183">
        <f t="shared" si="10"/>
        <v>-0.48242479519736825</v>
      </c>
      <c r="P70" s="182" t="b">
        <f t="shared" si="20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  <c r="Y70" s="807">
        <f t="shared" si="12"/>
        <v>-0.11916496099151458</v>
      </c>
    </row>
    <row r="71" spans="1:25" ht="20.100000000000001" customHeight="1" x14ac:dyDescent="0.25">
      <c r="A71" s="163">
        <f t="shared" ref="A71:A134" si="28">B71-$B$2</f>
        <v>98</v>
      </c>
      <c r="B71" s="167">
        <v>42331</v>
      </c>
      <c r="C71" s="198">
        <v>2086.59</v>
      </c>
      <c r="D71" s="171">
        <f t="shared" si="26"/>
        <v>-1.2349401915592924E-3</v>
      </c>
      <c r="E71" s="199">
        <f t="shared" si="23"/>
        <v>-7.5388596107379561E-3</v>
      </c>
      <c r="F71" s="216">
        <v>5102.47</v>
      </c>
      <c r="G71" s="171">
        <f t="shared" si="24"/>
        <v>-4.7992916637279687E-4</v>
      </c>
      <c r="H71" s="201">
        <f t="shared" si="25"/>
        <v>2.1152071017539204E-3</v>
      </c>
      <c r="I71" s="220">
        <v>352380.62</v>
      </c>
      <c r="J71" s="169">
        <v>400000</v>
      </c>
      <c r="K71" s="169">
        <f t="shared" si="19"/>
        <v>2571.289999999979</v>
      </c>
      <c r="L71" s="171">
        <f t="shared" si="27"/>
        <v>7.3505472252554807E-3</v>
      </c>
      <c r="M71" s="175">
        <f t="shared" si="21"/>
        <v>-47619.380000000005</v>
      </c>
      <c r="N71" s="183">
        <f t="shared" si="22"/>
        <v>-0.11904845000000001</v>
      </c>
      <c r="O71" s="183">
        <f t="shared" ref="O71:O134" si="29">N71/(A71/365.25)</f>
        <v>-0.44369843227040823</v>
      </c>
      <c r="P71" s="175" t="b">
        <f t="shared" si="20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  <c r="Y71" s="807">
        <f t="shared" si="12"/>
        <v>-0.11150959038926206</v>
      </c>
    </row>
    <row r="72" spans="1:25" ht="20.100000000000001" customHeight="1" x14ac:dyDescent="0.25">
      <c r="A72" s="163">
        <f t="shared" si="28"/>
        <v>99</v>
      </c>
      <c r="B72" s="167">
        <v>42332</v>
      </c>
      <c r="C72" s="198">
        <v>2089.14</v>
      </c>
      <c r="D72" s="171">
        <f t="shared" si="26"/>
        <v>1.2220896294910485E-3</v>
      </c>
      <c r="E72" s="199">
        <f t="shared" si="23"/>
        <v>-6.3259831433953792E-3</v>
      </c>
      <c r="F72" s="216">
        <v>5102.8</v>
      </c>
      <c r="G72" s="171">
        <f t="shared" si="24"/>
        <v>6.4674559576034202E-5</v>
      </c>
      <c r="H72" s="201">
        <f t="shared" si="25"/>
        <v>2.1800184614176729E-3</v>
      </c>
      <c r="I72" s="220">
        <v>356994.69</v>
      </c>
      <c r="J72" s="169">
        <v>400000</v>
      </c>
      <c r="K72" s="169">
        <f t="shared" si="19"/>
        <v>4614.070000000007</v>
      </c>
      <c r="L72" s="171">
        <f t="shared" si="27"/>
        <v>1.309399478325456E-2</v>
      </c>
      <c r="M72" s="175">
        <f t="shared" si="21"/>
        <v>-43005.31</v>
      </c>
      <c r="N72" s="183">
        <f t="shared" si="22"/>
        <v>-0.10751327499999999</v>
      </c>
      <c r="O72" s="183">
        <f t="shared" si="29"/>
        <v>-0.39665882518939388</v>
      </c>
      <c r="P72" s="175" t="b">
        <f t="shared" si="20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  <c r="Y72" s="807">
        <f t="shared" si="12"/>
        <v>-0.10118729185660461</v>
      </c>
    </row>
    <row r="73" spans="1:25" ht="20.100000000000001" customHeight="1" x14ac:dyDescent="0.25">
      <c r="A73" s="163">
        <f t="shared" si="28"/>
        <v>100</v>
      </c>
      <c r="B73" s="167">
        <v>42333</v>
      </c>
      <c r="C73" s="198">
        <v>2088.87</v>
      </c>
      <c r="D73" s="171">
        <f t="shared" si="26"/>
        <v>-1.2923978287715607E-4</v>
      </c>
      <c r="E73" s="199">
        <f t="shared" si="23"/>
        <v>-6.4544053575845989E-3</v>
      </c>
      <c r="F73" s="216">
        <v>5116.1400000000003</v>
      </c>
      <c r="G73" s="171">
        <f t="shared" si="24"/>
        <v>2.6142509994513102E-3</v>
      </c>
      <c r="H73" s="201">
        <f t="shared" si="25"/>
        <v>4.7999685763105661E-3</v>
      </c>
      <c r="I73" s="220">
        <v>357953.42</v>
      </c>
      <c r="J73" s="169">
        <v>400000</v>
      </c>
      <c r="K73" s="169">
        <f t="shared" si="19"/>
        <v>958.72999999998137</v>
      </c>
      <c r="L73" s="171">
        <f t="shared" si="27"/>
        <v>2.6855581521394098E-3</v>
      </c>
      <c r="M73" s="175">
        <f t="shared" si="21"/>
        <v>-42046.580000000016</v>
      </c>
      <c r="N73" s="183">
        <f t="shared" si="22"/>
        <v>-0.10511645000000004</v>
      </c>
      <c r="O73" s="183">
        <f t="shared" si="29"/>
        <v>-0.38393783362500017</v>
      </c>
      <c r="P73" s="175" t="b">
        <f t="shared" si="20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  <c r="Y73" s="807">
        <f t="shared" si="12"/>
        <v>-9.8662044642415445E-2</v>
      </c>
    </row>
    <row r="74" spans="1:25" ht="20.100000000000001" customHeight="1" x14ac:dyDescent="0.25">
      <c r="A74" s="163">
        <f t="shared" si="28"/>
        <v>102</v>
      </c>
      <c r="B74" s="167">
        <v>42335</v>
      </c>
      <c r="C74" s="204">
        <v>2090.11</v>
      </c>
      <c r="D74" s="171">
        <f t="shared" si="26"/>
        <v>5.9362238913873841E-4</v>
      </c>
      <c r="E74" s="199">
        <f t="shared" si="23"/>
        <v>-5.8646144479746996E-3</v>
      </c>
      <c r="F74" s="216">
        <v>5127.5200000000004</v>
      </c>
      <c r="G74" s="171">
        <f t="shared" si="24"/>
        <v>2.2243331886930592E-3</v>
      </c>
      <c r="H74" s="201">
        <f t="shared" si="25"/>
        <v>7.0349784944125967E-3</v>
      </c>
      <c r="I74" s="220">
        <v>355463.47</v>
      </c>
      <c r="J74" s="169">
        <v>400000</v>
      </c>
      <c r="K74" s="169">
        <f t="shared" si="19"/>
        <v>-2489.9500000000116</v>
      </c>
      <c r="L74" s="171">
        <f t="shared" si="27"/>
        <v>-6.9560726644265942E-3</v>
      </c>
      <c r="M74" s="175">
        <f t="shared" si="21"/>
        <v>-44536.530000000028</v>
      </c>
      <c r="N74" s="183">
        <f t="shared" si="22"/>
        <v>-0.11134132500000007</v>
      </c>
      <c r="O74" s="183">
        <f t="shared" si="29"/>
        <v>-0.39870018584558853</v>
      </c>
      <c r="P74" s="175" t="b">
        <f t="shared" si="20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  <c r="Y74" s="807">
        <f t="shared" si="12"/>
        <v>-0.10547671055202537</v>
      </c>
    </row>
    <row r="75" spans="1:25" ht="20.100000000000001" customHeight="1" x14ac:dyDescent="0.25">
      <c r="A75" s="163">
        <f t="shared" si="28"/>
        <v>105</v>
      </c>
      <c r="B75" s="172">
        <v>42338</v>
      </c>
      <c r="C75" s="208">
        <v>2080.41</v>
      </c>
      <c r="D75" s="171">
        <f t="shared" si="26"/>
        <v>-4.6409040672501789E-3</v>
      </c>
      <c r="E75" s="209">
        <f t="shared" si="23"/>
        <v>-1.0478301402180418E-2</v>
      </c>
      <c r="F75" s="219">
        <v>5108.66</v>
      </c>
      <c r="G75" s="171">
        <f t="shared" si="24"/>
        <v>-3.6781914063720045E-3</v>
      </c>
      <c r="H75" s="203">
        <f t="shared" si="25"/>
        <v>3.3309110905984322E-3</v>
      </c>
      <c r="I75" s="472">
        <v>358262.29</v>
      </c>
      <c r="J75" s="173">
        <v>400000</v>
      </c>
      <c r="K75" s="173">
        <f t="shared" si="19"/>
        <v>2798.820000000007</v>
      </c>
      <c r="L75" s="171">
        <f t="shared" si="27"/>
        <v>7.8737204697855653E-3</v>
      </c>
      <c r="M75" s="182">
        <f t="shared" si="21"/>
        <v>-41737.710000000021</v>
      </c>
      <c r="N75" s="184">
        <f t="shared" si="22"/>
        <v>-0.10434427500000006</v>
      </c>
      <c r="O75" s="183">
        <f t="shared" si="29"/>
        <v>-0.36296901375000024</v>
      </c>
      <c r="P75" s="182" t="b">
        <f t="shared" si="20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  <c r="Y75" s="807">
        <f t="shared" si="12"/>
        <v>-9.3865973597819632E-2</v>
      </c>
    </row>
    <row r="76" spans="1:25" ht="20.100000000000001" customHeight="1" x14ac:dyDescent="0.25">
      <c r="A76" s="163">
        <f t="shared" si="28"/>
        <v>106</v>
      </c>
      <c r="B76" s="172">
        <v>42339</v>
      </c>
      <c r="C76" s="208">
        <v>2102.63</v>
      </c>
      <c r="D76" s="171">
        <f t="shared" si="26"/>
        <v>1.0680586999678072E-2</v>
      </c>
      <c r="E76" s="209">
        <f t="shared" si="23"/>
        <v>9.0371187762815854E-5</v>
      </c>
      <c r="F76" s="219">
        <v>5156.3</v>
      </c>
      <c r="G76" s="171">
        <f t="shared" si="24"/>
        <v>9.3253416747249435E-3</v>
      </c>
      <c r="H76" s="203">
        <f t="shared" si="25"/>
        <v>1.2687314649331337E-2</v>
      </c>
      <c r="I76" s="221">
        <v>361281.91</v>
      </c>
      <c r="J76" s="173">
        <v>400000</v>
      </c>
      <c r="K76" s="173">
        <f t="shared" si="19"/>
        <v>3019.6199999999953</v>
      </c>
      <c r="L76" s="171">
        <f t="shared" si="27"/>
        <v>8.4285175534382795E-3</v>
      </c>
      <c r="M76" s="182">
        <f t="shared" si="21"/>
        <v>-38718.090000000026</v>
      </c>
      <c r="N76" s="184">
        <f t="shared" si="22"/>
        <v>-9.6795225000000068E-2</v>
      </c>
      <c r="O76" s="183">
        <f t="shared" si="29"/>
        <v>-0.33353260312500022</v>
      </c>
      <c r="P76" s="182" t="b">
        <f t="shared" si="20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  <c r="Y76" s="807">
        <f t="shared" si="12"/>
        <v>-9.6885596187762879E-2</v>
      </c>
    </row>
    <row r="77" spans="1:25" ht="20.100000000000001" customHeight="1" x14ac:dyDescent="0.25">
      <c r="A77" s="163">
        <f t="shared" si="28"/>
        <v>107</v>
      </c>
      <c r="B77" s="172">
        <v>42340</v>
      </c>
      <c r="C77" s="208">
        <v>2079.5100000000002</v>
      </c>
      <c r="D77" s="171">
        <f t="shared" si="26"/>
        <v>-1.0995752937987135E-2</v>
      </c>
      <c r="E77" s="209">
        <f t="shared" si="23"/>
        <v>-1.0906375449477671E-2</v>
      </c>
      <c r="F77" s="219">
        <v>5123.22</v>
      </c>
      <c r="G77" s="171">
        <f t="shared" si="24"/>
        <v>-6.415452941062375E-3</v>
      </c>
      <c r="H77" s="203">
        <f t="shared" si="25"/>
        <v>6.1904668381877245E-3</v>
      </c>
      <c r="I77" s="221">
        <v>349641.2</v>
      </c>
      <c r="J77" s="173">
        <v>400000</v>
      </c>
      <c r="K77" s="173">
        <f t="shared" si="19"/>
        <v>-11640.709999999963</v>
      </c>
      <c r="L77" s="171">
        <f t="shared" si="27"/>
        <v>-3.2220572571707129E-2</v>
      </c>
      <c r="M77" s="182">
        <f t="shared" si="21"/>
        <v>-50358.799999999988</v>
      </c>
      <c r="N77" s="184">
        <f t="shared" si="22"/>
        <v>-0.12589699999999998</v>
      </c>
      <c r="O77" s="183">
        <f t="shared" si="29"/>
        <v>-0.42975588084112148</v>
      </c>
      <c r="P77" s="182" t="b">
        <f t="shared" si="20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  <c r="Y77" s="807">
        <f t="shared" si="12"/>
        <v>-0.11499062455052231</v>
      </c>
    </row>
    <row r="78" spans="1:25" ht="20.100000000000001" customHeight="1" x14ac:dyDescent="0.25">
      <c r="A78" s="163">
        <f t="shared" si="28"/>
        <v>108</v>
      </c>
      <c r="B78" s="172">
        <v>42341</v>
      </c>
      <c r="C78" s="208">
        <v>2049.62</v>
      </c>
      <c r="D78" s="171">
        <f t="shared" si="26"/>
        <v>-1.4373578391063435E-2</v>
      </c>
      <c r="E78" s="209">
        <f t="shared" si="23"/>
        <v>-2.5123190198055669E-2</v>
      </c>
      <c r="F78" s="219">
        <v>5037.5200000000004</v>
      </c>
      <c r="G78" s="171">
        <f t="shared" si="24"/>
        <v>-1.6727761056523009E-2</v>
      </c>
      <c r="H78" s="203">
        <f t="shared" si="25"/>
        <v>-1.0640846868432819E-2</v>
      </c>
      <c r="I78" s="221">
        <v>344430.58</v>
      </c>
      <c r="J78" s="173">
        <v>400000</v>
      </c>
      <c r="K78" s="173">
        <f t="shared" si="19"/>
        <v>-5210.6199999999953</v>
      </c>
      <c r="L78" s="171">
        <f t="shared" si="27"/>
        <v>-1.4902763175506763E-2</v>
      </c>
      <c r="M78" s="182">
        <f t="shared" si="21"/>
        <v>-55569.419999999984</v>
      </c>
      <c r="N78" s="184">
        <f t="shared" si="22"/>
        <v>-0.13892354999999995</v>
      </c>
      <c r="O78" s="183">
        <f t="shared" si="29"/>
        <v>-0.46983172812499985</v>
      </c>
      <c r="P78" s="182" t="b">
        <f t="shared" si="20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  <c r="Y78" s="807">
        <f t="shared" si="12"/>
        <v>-0.11380035980194428</v>
      </c>
    </row>
    <row r="79" spans="1:25" ht="20.100000000000001" customHeight="1" x14ac:dyDescent="0.25">
      <c r="A79" s="163">
        <f t="shared" si="28"/>
        <v>109</v>
      </c>
      <c r="B79" s="172">
        <v>42342</v>
      </c>
      <c r="C79" s="208">
        <v>2091.69</v>
      </c>
      <c r="D79" s="171">
        <f t="shared" si="26"/>
        <v>2.0525755993794054E-2</v>
      </c>
      <c r="E79" s="209">
        <f t="shared" si="23"/>
        <v>-5.1131066760525864E-3</v>
      </c>
      <c r="F79" s="219">
        <v>5142.2700000000004</v>
      </c>
      <c r="G79" s="171">
        <f t="shared" si="24"/>
        <v>2.0793962108339021E-2</v>
      </c>
      <c r="H79" s="203">
        <f t="shared" si="25"/>
        <v>9.9318498733233732E-3</v>
      </c>
      <c r="I79" s="221">
        <v>341064.65</v>
      </c>
      <c r="J79" s="173">
        <v>400000</v>
      </c>
      <c r="K79" s="173">
        <f t="shared" si="19"/>
        <v>-3365.929999999993</v>
      </c>
      <c r="L79" s="171">
        <f t="shared" si="27"/>
        <v>-9.7724481955115388E-3</v>
      </c>
      <c r="M79" s="182">
        <f t="shared" si="21"/>
        <v>-58935.349999999977</v>
      </c>
      <c r="N79" s="184">
        <f t="shared" si="22"/>
        <v>-0.14733837499999994</v>
      </c>
      <c r="O79" s="183">
        <f t="shared" si="29"/>
        <v>-0.4937187290711007</v>
      </c>
      <c r="P79" s="182" t="b">
        <f t="shared" si="20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  <c r="Y79" s="807">
        <f t="shared" si="12"/>
        <v>-0.14222526832394736</v>
      </c>
    </row>
    <row r="80" spans="1:25" ht="20.100000000000001" customHeight="1" x14ac:dyDescent="0.25">
      <c r="A80" s="163">
        <f t="shared" si="28"/>
        <v>112</v>
      </c>
      <c r="B80" s="167">
        <v>42345</v>
      </c>
      <c r="C80" s="198">
        <v>2077.0700000000002</v>
      </c>
      <c r="D80" s="171">
        <f t="shared" si="26"/>
        <v>-6.9895634630370131E-3</v>
      </c>
      <c r="E80" s="199">
        <f t="shared" si="23"/>
        <v>-1.2066931755484052E-2</v>
      </c>
      <c r="F80" s="216">
        <v>5101.8100000000004</v>
      </c>
      <c r="G80" s="171">
        <f t="shared" si="24"/>
        <v>-7.8681204993125663E-3</v>
      </c>
      <c r="H80" s="201">
        <f t="shared" si="25"/>
        <v>1.9855843824264159E-3</v>
      </c>
      <c r="I80" s="220">
        <v>323555.34000000003</v>
      </c>
      <c r="J80" s="169">
        <v>400000</v>
      </c>
      <c r="K80" s="169">
        <f t="shared" si="19"/>
        <v>-17509.309999999998</v>
      </c>
      <c r="L80" s="171">
        <f t="shared" si="27"/>
        <v>-5.1337217152231981E-2</v>
      </c>
      <c r="M80" s="175">
        <f t="shared" si="21"/>
        <v>-76444.659999999974</v>
      </c>
      <c r="N80" s="183">
        <f t="shared" si="22"/>
        <v>-0.19111164999999994</v>
      </c>
      <c r="O80" s="183">
        <f t="shared" si="29"/>
        <v>-0.6232458050223213</v>
      </c>
      <c r="P80" s="175" t="b">
        <f t="shared" si="20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  <c r="Y80" s="807">
        <f t="shared" si="12"/>
        <v>-0.1790447182445159</v>
      </c>
    </row>
    <row r="81" spans="1:25" ht="20.100000000000001" customHeight="1" x14ac:dyDescent="0.25">
      <c r="A81" s="163">
        <f t="shared" si="28"/>
        <v>113</v>
      </c>
      <c r="B81" s="167">
        <v>42346</v>
      </c>
      <c r="C81" s="198">
        <v>2063.59</v>
      </c>
      <c r="D81" s="171">
        <f t="shared" si="26"/>
        <v>-6.489911269239851E-3</v>
      </c>
      <c r="E81" s="199">
        <f t="shared" si="23"/>
        <v>-1.8478529708338839E-2</v>
      </c>
      <c r="F81" s="216">
        <v>5098.24</v>
      </c>
      <c r="G81" s="171">
        <f t="shared" si="24"/>
        <v>-6.9975165676507318E-4</v>
      </c>
      <c r="H81" s="201">
        <f t="shared" si="25"/>
        <v>1.284443309700093E-3</v>
      </c>
      <c r="I81" s="220">
        <v>320909.52</v>
      </c>
      <c r="J81" s="169">
        <v>400000</v>
      </c>
      <c r="K81" s="169">
        <f t="shared" si="19"/>
        <v>-2645.820000000007</v>
      </c>
      <c r="L81" s="171">
        <f t="shared" si="27"/>
        <v>-8.1773337445149464E-3</v>
      </c>
      <c r="M81" s="175">
        <f t="shared" si="21"/>
        <v>-79090.479999999981</v>
      </c>
      <c r="N81" s="183">
        <f t="shared" si="22"/>
        <v>-0.19772619999999996</v>
      </c>
      <c r="O81" s="183">
        <f t="shared" si="29"/>
        <v>-0.63911057123893789</v>
      </c>
      <c r="P81" s="175" t="b">
        <f t="shared" si="20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  <c r="Y81" s="807">
        <f t="shared" si="12"/>
        <v>-0.17924767029166111</v>
      </c>
    </row>
    <row r="82" spans="1:25" ht="20.100000000000001" customHeight="1" x14ac:dyDescent="0.25">
      <c r="A82" s="163">
        <f t="shared" si="28"/>
        <v>114</v>
      </c>
      <c r="B82" s="167">
        <v>42347</v>
      </c>
      <c r="C82" s="198">
        <v>2047.62</v>
      </c>
      <c r="D82" s="171">
        <f t="shared" si="26"/>
        <v>-7.7389403902908297E-3</v>
      </c>
      <c r="E82" s="199">
        <f t="shared" si="23"/>
        <v>-2.6074465858716617E-2</v>
      </c>
      <c r="F82" s="216">
        <v>5022.8599999999997</v>
      </c>
      <c r="G82" s="171">
        <f t="shared" si="24"/>
        <v>-1.4785494602058772E-2</v>
      </c>
      <c r="H82" s="201">
        <f t="shared" si="25"/>
        <v>-1.3520042421980899E-2</v>
      </c>
      <c r="I82" s="220">
        <v>319453.12</v>
      </c>
      <c r="J82" s="169">
        <v>400000</v>
      </c>
      <c r="K82" s="169">
        <f t="shared" si="19"/>
        <v>-1456.4000000000233</v>
      </c>
      <c r="L82" s="171">
        <f t="shared" si="27"/>
        <v>-4.5383508722334669E-3</v>
      </c>
      <c r="M82" s="175">
        <f t="shared" si="21"/>
        <v>-80546.880000000005</v>
      </c>
      <c r="N82" s="183">
        <f t="shared" si="22"/>
        <v>-0.20136720000000002</v>
      </c>
      <c r="O82" s="183">
        <f t="shared" si="29"/>
        <v>-0.64516991052631578</v>
      </c>
      <c r="P82" s="175" t="b">
        <f t="shared" si="20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  <c r="Y82" s="807">
        <f t="shared" si="12"/>
        <v>-0.17529273414128341</v>
      </c>
    </row>
    <row r="83" spans="1:25" ht="20.100000000000001" customHeight="1" x14ac:dyDescent="0.25">
      <c r="A83" s="163">
        <f t="shared" si="28"/>
        <v>115</v>
      </c>
      <c r="B83" s="167">
        <v>42348</v>
      </c>
      <c r="C83" s="204">
        <v>2052.23</v>
      </c>
      <c r="D83" s="171">
        <f t="shared" si="26"/>
        <v>2.2513943016771315E-3</v>
      </c>
      <c r="E83" s="199">
        <f t="shared" si="23"/>
        <v>-2.3881775460893075E-2</v>
      </c>
      <c r="F83" s="216">
        <v>5045.17</v>
      </c>
      <c r="G83" s="171">
        <f t="shared" si="24"/>
        <v>4.4416925815173825E-3</v>
      </c>
      <c r="H83" s="201">
        <f t="shared" si="25"/>
        <v>-9.1384017125910304E-3</v>
      </c>
      <c r="I83" s="220">
        <v>324246.53999999998</v>
      </c>
      <c r="J83" s="169">
        <v>400000</v>
      </c>
      <c r="K83" s="169">
        <f t="shared" si="19"/>
        <v>4793.4199999999837</v>
      </c>
      <c r="L83" s="171">
        <f t="shared" si="27"/>
        <v>1.5005081183742965E-2</v>
      </c>
      <c r="M83" s="175">
        <f t="shared" si="21"/>
        <v>-75753.460000000021</v>
      </c>
      <c r="N83" s="183">
        <f t="shared" si="22"/>
        <v>-0.18938365000000004</v>
      </c>
      <c r="O83" s="183">
        <f t="shared" si="29"/>
        <v>-0.60149894054347841</v>
      </c>
      <c r="P83" s="175" t="b">
        <f t="shared" si="20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  <c r="Y83" s="807">
        <f t="shared" si="12"/>
        <v>-0.16550187453910697</v>
      </c>
    </row>
    <row r="84" spans="1:25" ht="20.100000000000001" customHeight="1" x14ac:dyDescent="0.25">
      <c r="A84" s="163">
        <f t="shared" si="28"/>
        <v>116</v>
      </c>
      <c r="B84" s="167">
        <v>42349</v>
      </c>
      <c r="C84" s="204">
        <v>2012.37</v>
      </c>
      <c r="D84" s="171">
        <f t="shared" si="26"/>
        <v>-1.9422774250449575E-2</v>
      </c>
      <c r="E84" s="199">
        <f t="shared" si="23"/>
        <v>-4.2840699377865797E-2</v>
      </c>
      <c r="F84" s="216">
        <v>4933.47</v>
      </c>
      <c r="G84" s="171">
        <f t="shared" si="24"/>
        <v>-2.2139987354241743E-2</v>
      </c>
      <c r="H84" s="201">
        <f t="shared" si="25"/>
        <v>-3.1076064968478027E-2</v>
      </c>
      <c r="I84" s="220">
        <v>314974.52</v>
      </c>
      <c r="J84" s="169">
        <v>400000</v>
      </c>
      <c r="K84" s="169">
        <f t="shared" si="19"/>
        <v>-9272.0199999999604</v>
      </c>
      <c r="L84" s="171">
        <f t="shared" si="27"/>
        <v>-2.8595586555834832E-2</v>
      </c>
      <c r="M84" s="175">
        <f t="shared" si="21"/>
        <v>-85025.479999999981</v>
      </c>
      <c r="N84" s="183">
        <f t="shared" si="22"/>
        <v>-0.21256369999999997</v>
      </c>
      <c r="O84" s="183">
        <f t="shared" si="29"/>
        <v>-0.66930078814655158</v>
      </c>
      <c r="P84" s="175" t="b">
        <f t="shared" si="20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  <c r="Y84" s="807">
        <f t="shared" si="12"/>
        <v>-0.16972300062213416</v>
      </c>
    </row>
    <row r="85" spans="1:25" ht="20.100000000000001" customHeight="1" x14ac:dyDescent="0.25">
      <c r="A85" s="163">
        <f t="shared" si="28"/>
        <v>119</v>
      </c>
      <c r="B85" s="172">
        <v>42352</v>
      </c>
      <c r="C85" s="208">
        <v>2021.94</v>
      </c>
      <c r="D85" s="171">
        <f t="shared" si="26"/>
        <v>4.7555866962835681E-3</v>
      </c>
      <c r="E85" s="209">
        <f t="shared" ref="E85:E95" si="30">(C85-$C$2)/$C$2</f>
        <v>-3.8288845341603088E-2</v>
      </c>
      <c r="F85" s="219">
        <v>4871.59</v>
      </c>
      <c r="G85" s="171">
        <f t="shared" si="24"/>
        <v>-1.2542895771130685E-2</v>
      </c>
      <c r="H85" s="203">
        <f t="shared" ref="H85:H106" si="31">(F85-F$2)/F$2</f>
        <v>-4.3229176895732205E-2</v>
      </c>
      <c r="I85" s="221">
        <f>400000-82872.25</f>
        <v>317127.75</v>
      </c>
      <c r="J85" s="173">
        <v>400000</v>
      </c>
      <c r="K85" s="173">
        <f t="shared" si="19"/>
        <v>2153.2299999999814</v>
      </c>
      <c r="L85" s="171">
        <f t="shared" si="27"/>
        <v>6.8362037665776303E-3</v>
      </c>
      <c r="M85" s="182">
        <f t="shared" si="21"/>
        <v>-82872.25</v>
      </c>
      <c r="N85" s="184">
        <f t="shared" si="22"/>
        <v>-0.20718062500000001</v>
      </c>
      <c r="O85" s="183">
        <f t="shared" si="29"/>
        <v>-0.63590523765756302</v>
      </c>
      <c r="P85" s="182" t="b">
        <f t="shared" si="20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  <c r="Y85" s="807">
        <f t="shared" si="12"/>
        <v>-0.16889177965839691</v>
      </c>
    </row>
    <row r="86" spans="1:25" ht="20.100000000000001" customHeight="1" x14ac:dyDescent="0.25">
      <c r="A86" s="163">
        <f t="shared" si="28"/>
        <v>120</v>
      </c>
      <c r="B86" s="172">
        <v>42353</v>
      </c>
      <c r="C86" s="208">
        <v>2043.41</v>
      </c>
      <c r="D86" s="171">
        <f t="shared" si="26"/>
        <v>1.0618514891638736E-2</v>
      </c>
      <c r="E86" s="209">
        <f t="shared" si="30"/>
        <v>-2.8076901124407819E-2</v>
      </c>
      <c r="F86" s="219">
        <v>4986.99</v>
      </c>
      <c r="G86" s="171">
        <f t="shared" si="24"/>
        <v>2.3688364579120911E-2</v>
      </c>
      <c r="H86" s="203">
        <f t="shared" si="31"/>
        <v>-2.0564840819372713E-2</v>
      </c>
      <c r="I86" s="221">
        <v>315111.13</v>
      </c>
      <c r="J86" s="173">
        <v>400000</v>
      </c>
      <c r="K86" s="173">
        <f t="shared" si="19"/>
        <v>-2016.6199999999953</v>
      </c>
      <c r="L86" s="171">
        <f t="shared" si="27"/>
        <v>-6.3590146242326487E-3</v>
      </c>
      <c r="M86" s="182">
        <f t="shared" si="21"/>
        <v>-84888.87</v>
      </c>
      <c r="N86" s="184">
        <f t="shared" si="22"/>
        <v>-0.21222217499999999</v>
      </c>
      <c r="O86" s="183">
        <f t="shared" si="29"/>
        <v>-0.64595124515625002</v>
      </c>
      <c r="P86" s="182" t="b">
        <f t="shared" si="20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  <c r="Y86" s="807">
        <f t="shared" si="12"/>
        <v>-0.18414527387559215</v>
      </c>
    </row>
    <row r="87" spans="1:25" ht="20.100000000000001" customHeight="1" x14ac:dyDescent="0.25">
      <c r="A87" s="163">
        <f t="shared" si="28"/>
        <v>121</v>
      </c>
      <c r="B87" s="172">
        <v>42354</v>
      </c>
      <c r="C87" s="208">
        <v>2073.0700000000002</v>
      </c>
      <c r="D87" s="171">
        <f t="shared" si="26"/>
        <v>1.4514952946300586E-2</v>
      </c>
      <c r="E87" s="209">
        <f t="shared" si="30"/>
        <v>-1.3969483076805945E-2</v>
      </c>
      <c r="F87" s="219">
        <v>4992.63</v>
      </c>
      <c r="G87" s="171">
        <f t="shared" si="24"/>
        <v>1.1309427129391331E-3</v>
      </c>
      <c r="H87" s="203">
        <f t="shared" si="31"/>
        <v>-1.9457155763301003E-2</v>
      </c>
      <c r="I87" s="221">
        <v>320067.34000000003</v>
      </c>
      <c r="J87" s="173">
        <v>400000</v>
      </c>
      <c r="K87" s="173">
        <f t="shared" si="19"/>
        <v>4956.210000000021</v>
      </c>
      <c r="L87" s="171">
        <f t="shared" si="27"/>
        <v>1.5728451102314352E-2</v>
      </c>
      <c r="M87" s="182">
        <f t="shared" si="21"/>
        <v>-79932.659999999974</v>
      </c>
      <c r="N87" s="184">
        <f t="shared" si="22"/>
        <v>-0.19983164999999994</v>
      </c>
      <c r="O87" s="183">
        <f t="shared" si="29"/>
        <v>-0.60321082778925605</v>
      </c>
      <c r="P87" s="182" t="b">
        <f t="shared" si="20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  <c r="Y87" s="807">
        <f t="shared" si="12"/>
        <v>-0.18586216692319399</v>
      </c>
    </row>
    <row r="88" spans="1:25" ht="20.100000000000001" customHeight="1" x14ac:dyDescent="0.25">
      <c r="A88" s="163">
        <f t="shared" si="28"/>
        <v>122</v>
      </c>
      <c r="B88" s="172">
        <v>42355</v>
      </c>
      <c r="C88" s="208">
        <v>2041.89</v>
      </c>
      <c r="D88" s="171">
        <f t="shared" si="26"/>
        <v>-1.5040495497016531E-2</v>
      </c>
      <c r="E88" s="209">
        <f t="shared" si="30"/>
        <v>-2.8799870626510127E-2</v>
      </c>
      <c r="F88" s="219">
        <v>5002.55</v>
      </c>
      <c r="G88" s="171">
        <f t="shared" si="24"/>
        <v>1.9869287329523865E-3</v>
      </c>
      <c r="H88" s="203">
        <f t="shared" si="31"/>
        <v>-1.7508887012196248E-2</v>
      </c>
      <c r="I88" s="221">
        <v>314862.69</v>
      </c>
      <c r="J88" s="173">
        <v>400000</v>
      </c>
      <c r="K88" s="173">
        <f t="shared" ref="K88:K119" si="32">I88-I87-J88+J87</f>
        <v>-5204.6500000000233</v>
      </c>
      <c r="L88" s="171">
        <f t="shared" si="27"/>
        <v>-1.6261109302811161E-2</v>
      </c>
      <c r="M88" s="182">
        <f t="shared" si="21"/>
        <v>-85137.31</v>
      </c>
      <c r="N88" s="184">
        <f t="shared" si="22"/>
        <v>-0.212843275</v>
      </c>
      <c r="O88" s="183">
        <f t="shared" si="29"/>
        <v>-0.63722136224385251</v>
      </c>
      <c r="P88" s="182" t="b">
        <f t="shared" si="20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  <c r="Y88" s="807">
        <f t="shared" si="12"/>
        <v>-0.18404340437348987</v>
      </c>
    </row>
    <row r="89" spans="1:25" ht="20.100000000000001" customHeight="1" x14ac:dyDescent="0.25">
      <c r="A89" s="163">
        <f t="shared" si="28"/>
        <v>123</v>
      </c>
      <c r="B89" s="172">
        <v>42356</v>
      </c>
      <c r="C89" s="208">
        <v>2005.52</v>
      </c>
      <c r="D89" s="171">
        <f t="shared" si="26"/>
        <v>-1.7811929144077358E-2</v>
      </c>
      <c r="E89" s="209">
        <f t="shared" si="30"/>
        <v>-4.609881851562949E-2</v>
      </c>
      <c r="F89" s="219">
        <v>4923.08</v>
      </c>
      <c r="G89" s="171">
        <f t="shared" si="24"/>
        <v>-1.5885898191922172E-2</v>
      </c>
      <c r="H89" s="203">
        <f t="shared" si="31"/>
        <v>-3.3116640807588804E-2</v>
      </c>
      <c r="I89" s="221">
        <v>315502.05</v>
      </c>
      <c r="J89" s="173">
        <v>400000</v>
      </c>
      <c r="K89" s="173">
        <f t="shared" si="32"/>
        <v>639.35999999998603</v>
      </c>
      <c r="L89" s="171">
        <f t="shared" si="27"/>
        <v>2.0305994336769022E-3</v>
      </c>
      <c r="M89" s="182">
        <f t="shared" si="21"/>
        <v>-84497.950000000012</v>
      </c>
      <c r="N89" s="184">
        <f t="shared" si="22"/>
        <v>-0.21124487500000003</v>
      </c>
      <c r="O89" s="183">
        <f t="shared" si="29"/>
        <v>-0.62729423246951233</v>
      </c>
      <c r="P89" s="182" t="b">
        <f t="shared" si="20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  <c r="Y89" s="807">
        <f t="shared" si="12"/>
        <v>-0.16514605648437053</v>
      </c>
    </row>
    <row r="90" spans="1:25" ht="20.100000000000001" customHeight="1" x14ac:dyDescent="0.25">
      <c r="A90" s="163">
        <f t="shared" si="28"/>
        <v>126</v>
      </c>
      <c r="B90" s="167">
        <v>42359</v>
      </c>
      <c r="C90" s="198">
        <v>2021.15</v>
      </c>
      <c r="D90" s="171">
        <f t="shared" si="26"/>
        <v>7.7934899676892324E-3</v>
      </c>
      <c r="E90" s="199">
        <f t="shared" si="30"/>
        <v>-3.8664599227564142E-2</v>
      </c>
      <c r="F90" s="216">
        <v>4968.92</v>
      </c>
      <c r="G90" s="171">
        <f t="shared" si="24"/>
        <v>9.3112441804724163E-3</v>
      </c>
      <c r="H90" s="201">
        <f t="shared" si="31"/>
        <v>-2.4113753756112841E-2</v>
      </c>
      <c r="I90" s="220">
        <v>320825.06</v>
      </c>
      <c r="J90" s="169">
        <v>400000</v>
      </c>
      <c r="K90" s="169">
        <f t="shared" si="32"/>
        <v>5323.0100000000093</v>
      </c>
      <c r="L90" s="171">
        <f t="shared" si="27"/>
        <v>1.6871554400359711E-2</v>
      </c>
      <c r="M90" s="175">
        <f t="shared" si="21"/>
        <v>-79174.94</v>
      </c>
      <c r="N90" s="183">
        <f t="shared" si="22"/>
        <v>-0.19793735000000001</v>
      </c>
      <c r="O90" s="183">
        <f t="shared" si="29"/>
        <v>-0.57378267529761906</v>
      </c>
      <c r="P90" s="175" t="b">
        <f t="shared" si="20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  <c r="Y90" s="807">
        <f t="shared" si="12"/>
        <v>-0.15927275077243586</v>
      </c>
    </row>
    <row r="91" spans="1:25" ht="20.100000000000001" customHeight="1" x14ac:dyDescent="0.25">
      <c r="A91" s="163">
        <f t="shared" si="28"/>
        <v>127</v>
      </c>
      <c r="B91" s="167">
        <v>42360</v>
      </c>
      <c r="C91" s="198">
        <v>2038.97</v>
      </c>
      <c r="D91" s="171">
        <f t="shared" si="26"/>
        <v>8.8167627340869983E-3</v>
      </c>
      <c r="E91" s="199">
        <f t="shared" si="30"/>
        <v>-3.0188733091075143E-2</v>
      </c>
      <c r="F91" s="216">
        <v>5001.1099999999997</v>
      </c>
      <c r="G91" s="171">
        <f t="shared" si="24"/>
        <v>6.4782689196041798E-3</v>
      </c>
      <c r="H91" s="201">
        <f t="shared" si="31"/>
        <v>-1.7791700218001874E-2</v>
      </c>
      <c r="I91" s="220">
        <v>321902.78000000003</v>
      </c>
      <c r="J91" s="169">
        <v>400000</v>
      </c>
      <c r="K91" s="169">
        <f t="shared" si="32"/>
        <v>1077.7200000000303</v>
      </c>
      <c r="L91" s="171">
        <f t="shared" si="27"/>
        <v>3.3592138968197506E-3</v>
      </c>
      <c r="M91" s="175">
        <f t="shared" si="21"/>
        <v>-78097.219999999972</v>
      </c>
      <c r="N91" s="183">
        <f t="shared" si="22"/>
        <v>-0.19524304999999992</v>
      </c>
      <c r="O91" s="183">
        <f t="shared" si="29"/>
        <v>-0.56151593710629899</v>
      </c>
      <c r="P91" s="175" t="b">
        <f t="shared" ref="P91:P122" si="33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4">O91/W91</f>
        <v>-1.8868187606367703</v>
      </c>
      <c r="Y91" s="807">
        <f t="shared" ref="Y91:Y154" si="35">-(E91-N91)</f>
        <v>-0.16505431690892478</v>
      </c>
    </row>
    <row r="92" spans="1:25" ht="20.100000000000001" customHeight="1" x14ac:dyDescent="0.25">
      <c r="A92" s="163">
        <f t="shared" si="28"/>
        <v>128</v>
      </c>
      <c r="B92" s="167">
        <v>42361</v>
      </c>
      <c r="C92" s="198">
        <v>2064.29</v>
      </c>
      <c r="D92" s="171">
        <f t="shared" si="26"/>
        <v>1.2418034595898879E-2</v>
      </c>
      <c r="E92" s="199">
        <f t="shared" si="30"/>
        <v>-1.8145583227107593E-2</v>
      </c>
      <c r="F92" s="216">
        <v>5045.93</v>
      </c>
      <c r="G92" s="171">
        <f t="shared" si="24"/>
        <v>8.9620104336838469E-3</v>
      </c>
      <c r="H92" s="201">
        <f t="shared" si="31"/>
        <v>-8.9891391873047361E-3</v>
      </c>
      <c r="I92" s="220">
        <v>330734.09999999998</v>
      </c>
      <c r="J92" s="169">
        <v>400000</v>
      </c>
      <c r="K92" s="169">
        <f t="shared" si="32"/>
        <v>8831.3199999999488</v>
      </c>
      <c r="L92" s="171">
        <f t="shared" si="27"/>
        <v>2.7434742874851679E-2</v>
      </c>
      <c r="M92" s="175">
        <f t="shared" si="21"/>
        <v>-69265.900000000023</v>
      </c>
      <c r="N92" s="183">
        <f t="shared" si="22"/>
        <v>-0.17316475000000006</v>
      </c>
      <c r="O92" s="183">
        <f t="shared" si="29"/>
        <v>-0.49412831982421895</v>
      </c>
      <c r="P92" s="175" t="b">
        <f t="shared" si="33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4"/>
        <v>-1.6482837692666303</v>
      </c>
      <c r="Y92" s="807">
        <f t="shared" si="35"/>
        <v>-0.15501916677289246</v>
      </c>
    </row>
    <row r="93" spans="1:25" ht="20.100000000000001" customHeight="1" x14ac:dyDescent="0.25">
      <c r="A93" s="163">
        <f t="shared" si="28"/>
        <v>129</v>
      </c>
      <c r="B93" s="167">
        <v>42362</v>
      </c>
      <c r="C93" s="204">
        <v>2060.9899999999998</v>
      </c>
      <c r="D93" s="171">
        <f t="shared" si="26"/>
        <v>-1.5986125980362168E-3</v>
      </c>
      <c r="E93" s="199">
        <f t="shared" si="30"/>
        <v>-1.9715188067198242E-2</v>
      </c>
      <c r="F93" s="216">
        <v>5048.49</v>
      </c>
      <c r="G93" s="171">
        <f t="shared" si="24"/>
        <v>5.0733957863059742E-4</v>
      </c>
      <c r="H93" s="201">
        <f t="shared" si="31"/>
        <v>-8.4863601547616793E-3</v>
      </c>
      <c r="I93" s="220">
        <v>331472.32</v>
      </c>
      <c r="J93" s="169">
        <v>400000</v>
      </c>
      <c r="K93" s="169">
        <f t="shared" si="32"/>
        <v>738.22000000003027</v>
      </c>
      <c r="L93" s="171">
        <f t="shared" si="27"/>
        <v>2.2320649730403676E-3</v>
      </c>
      <c r="M93" s="175">
        <f t="shared" si="21"/>
        <v>-68527.679999999993</v>
      </c>
      <c r="N93" s="183">
        <f t="shared" si="22"/>
        <v>-0.17131919999999998</v>
      </c>
      <c r="O93" s="183">
        <f t="shared" si="29"/>
        <v>-0.48507238604651154</v>
      </c>
      <c r="P93" s="175" t="b">
        <f t="shared" si="33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4"/>
        <v>-1.6268907045770358</v>
      </c>
      <c r="Y93" s="807">
        <f t="shared" si="35"/>
        <v>-0.15160401193280174</v>
      </c>
    </row>
    <row r="94" spans="1:25" ht="20.100000000000001" customHeight="1" x14ac:dyDescent="0.25">
      <c r="A94" s="163">
        <f t="shared" si="28"/>
        <v>133</v>
      </c>
      <c r="B94" s="172">
        <v>42366</v>
      </c>
      <c r="C94" s="215">
        <v>2056.5</v>
      </c>
      <c r="D94" s="171">
        <f t="shared" si="26"/>
        <v>-2.178564670376752E-3</v>
      </c>
      <c r="E94" s="209">
        <f t="shared" si="30"/>
        <v>-2.1850801925381962E-2</v>
      </c>
      <c r="F94" s="219">
        <v>5040.99</v>
      </c>
      <c r="G94" s="171">
        <f t="shared" si="24"/>
        <v>-1.4855927217841374E-3</v>
      </c>
      <c r="H94" s="203">
        <f t="shared" si="31"/>
        <v>-9.9593456016654636E-3</v>
      </c>
      <c r="I94" s="221">
        <v>324433.87</v>
      </c>
      <c r="J94" s="173">
        <v>400000</v>
      </c>
      <c r="K94" s="173">
        <f t="shared" si="32"/>
        <v>-7038.4500000000116</v>
      </c>
      <c r="L94" s="171">
        <f t="shared" si="27"/>
        <v>-2.1233899711445021E-2</v>
      </c>
      <c r="M94" s="182">
        <f t="shared" ref="M94:M125" si="36">I94-J94</f>
        <v>-75566.13</v>
      </c>
      <c r="N94" s="184">
        <f t="shared" ref="N94:N125" si="37">M94/J94</f>
        <v>-0.18891532500000002</v>
      </c>
      <c r="O94" s="183">
        <f t="shared" si="29"/>
        <v>-0.51880693576127823</v>
      </c>
      <c r="P94" s="182" t="b">
        <f t="shared" si="33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4"/>
        <v>-1.7384824402491641</v>
      </c>
      <c r="Y94" s="807">
        <f t="shared" si="35"/>
        <v>-0.16706452307461805</v>
      </c>
    </row>
    <row r="95" spans="1:25" ht="20.100000000000001" customHeight="1" x14ac:dyDescent="0.25">
      <c r="A95" s="163">
        <f t="shared" si="28"/>
        <v>134</v>
      </c>
      <c r="B95" s="172">
        <v>42367</v>
      </c>
      <c r="C95" s="208">
        <v>2078.36</v>
      </c>
      <c r="D95" s="171">
        <f t="shared" si="26"/>
        <v>1.0629710673474412E-2</v>
      </c>
      <c r="E95" s="209">
        <f t="shared" si="30"/>
        <v>-1.1453358954357758E-2</v>
      </c>
      <c r="F95" s="219">
        <v>5107.9399999999996</v>
      </c>
      <c r="G95" s="171">
        <f t="shared" si="24"/>
        <v>1.3281121367033027E-2</v>
      </c>
      <c r="H95" s="203">
        <f t="shared" si="31"/>
        <v>3.1895044876956188E-3</v>
      </c>
      <c r="I95" s="221">
        <v>326263</v>
      </c>
      <c r="J95" s="173">
        <v>400000</v>
      </c>
      <c r="K95" s="173">
        <f t="shared" si="32"/>
        <v>1829.1300000000047</v>
      </c>
      <c r="L95" s="171">
        <f t="shared" si="27"/>
        <v>5.6379132055478813E-3</v>
      </c>
      <c r="M95" s="182">
        <f t="shared" si="36"/>
        <v>-73737</v>
      </c>
      <c r="N95" s="184">
        <f t="shared" si="37"/>
        <v>-0.18434249999999999</v>
      </c>
      <c r="O95" s="183">
        <f t="shared" si="29"/>
        <v>-0.50247088152985075</v>
      </c>
      <c r="P95" s="182" t="b">
        <f t="shared" si="33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4"/>
        <v>-1.6917888977808908</v>
      </c>
      <c r="Y95" s="807">
        <f t="shared" si="35"/>
        <v>-0.17288914104564224</v>
      </c>
    </row>
    <row r="96" spans="1:25" ht="20.100000000000001" customHeight="1" x14ac:dyDescent="0.25">
      <c r="A96" s="163">
        <f t="shared" si="28"/>
        <v>135</v>
      </c>
      <c r="B96" s="172">
        <v>42368</v>
      </c>
      <c r="C96" s="208">
        <v>2063.36</v>
      </c>
      <c r="D96" s="171">
        <f t="shared" si="26"/>
        <v>-7.2172289689947837E-3</v>
      </c>
      <c r="E96" s="209">
        <f>(C96-$C$2)/$C$2</f>
        <v>-1.8587926409314857E-2</v>
      </c>
      <c r="F96" s="219">
        <v>5065.84</v>
      </c>
      <c r="G96" s="171">
        <f t="shared" si="24"/>
        <v>-8.242070188764836E-3</v>
      </c>
      <c r="H96" s="203">
        <f t="shared" si="31"/>
        <v>-5.0788538209241849E-3</v>
      </c>
      <c r="I96" s="221">
        <v>318053.19</v>
      </c>
      <c r="J96" s="173">
        <v>400000</v>
      </c>
      <c r="K96" s="173">
        <f t="shared" si="32"/>
        <v>-8209.8099999999977</v>
      </c>
      <c r="L96" s="171">
        <f t="shared" si="27"/>
        <v>-2.5163165912162881E-2</v>
      </c>
      <c r="M96" s="182">
        <f t="shared" si="36"/>
        <v>-81946.81</v>
      </c>
      <c r="N96" s="184">
        <f t="shared" si="37"/>
        <v>-0.20486702499999998</v>
      </c>
      <c r="O96" s="183">
        <f t="shared" si="29"/>
        <v>-0.55427911763888882</v>
      </c>
      <c r="P96" s="182" t="b">
        <f t="shared" si="33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4"/>
        <v>-1.8597634874367968</v>
      </c>
      <c r="Y96" s="807">
        <f t="shared" si="35"/>
        <v>-0.18627909859068512</v>
      </c>
    </row>
    <row r="97" spans="1:25" ht="20.100000000000001" customHeight="1" x14ac:dyDescent="0.25">
      <c r="A97" s="163">
        <f t="shared" si="28"/>
        <v>136</v>
      </c>
      <c r="B97" s="172">
        <v>42369</v>
      </c>
      <c r="C97" s="208">
        <v>2043.94</v>
      </c>
      <c r="D97" s="171">
        <f t="shared" si="26"/>
        <v>-9.4118331265509031E-3</v>
      </c>
      <c r="E97" s="209">
        <f>(C97-$C$2)/$C$2</f>
        <v>-2.7824813074332679E-2</v>
      </c>
      <c r="F97" s="219">
        <v>5007.41</v>
      </c>
      <c r="G97" s="171">
        <f t="shared" si="24"/>
        <v>-1.1534118724634076E-2</v>
      </c>
      <c r="H97" s="203">
        <f t="shared" si="31"/>
        <v>-1.655439244260266E-2</v>
      </c>
      <c r="I97" s="414">
        <v>320884.32</v>
      </c>
      <c r="J97" s="173">
        <v>400000</v>
      </c>
      <c r="K97" s="173">
        <f t="shared" si="32"/>
        <v>2831.1300000000047</v>
      </c>
      <c r="L97" s="171">
        <f t="shared" si="27"/>
        <v>8.9014356372278634E-3</v>
      </c>
      <c r="M97" s="182">
        <f t="shared" si="36"/>
        <v>-79115.679999999993</v>
      </c>
      <c r="N97" s="184">
        <f t="shared" si="37"/>
        <v>-0.19778919999999997</v>
      </c>
      <c r="O97" s="183">
        <f t="shared" si="29"/>
        <v>-0.53119489191176461</v>
      </c>
      <c r="P97" s="182" t="b">
        <f t="shared" si="33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4"/>
        <v>-1.7890702445540221</v>
      </c>
      <c r="Y97" s="807">
        <f t="shared" si="35"/>
        <v>-0.16996438692566729</v>
      </c>
    </row>
    <row r="98" spans="1:25" ht="20.100000000000001" customHeight="1" x14ac:dyDescent="0.25">
      <c r="A98" s="163">
        <f t="shared" si="28"/>
        <v>140</v>
      </c>
      <c r="B98" s="167">
        <v>42373</v>
      </c>
      <c r="C98" s="198">
        <v>2012.66</v>
      </c>
      <c r="D98" s="171">
        <f t="shared" si="26"/>
        <v>-1.5303776040392561E-2</v>
      </c>
      <c r="E98" s="199">
        <f t="shared" ref="E98:E103" si="38">(C98-$C$2)/$C$2</f>
        <v>-4.2702764407069868E-2</v>
      </c>
      <c r="F98" s="216">
        <v>4903.08</v>
      </c>
      <c r="G98" s="171">
        <f t="shared" si="24"/>
        <v>-2.0835122348679243E-2</v>
      </c>
      <c r="H98" s="201">
        <f t="shared" si="31"/>
        <v>-3.7044601999332225E-2</v>
      </c>
      <c r="I98" s="220">
        <v>323756.46999999997</v>
      </c>
      <c r="J98" s="169">
        <v>400000</v>
      </c>
      <c r="K98" s="169">
        <f t="shared" si="32"/>
        <v>2872.1499999999651</v>
      </c>
      <c r="L98" s="171">
        <f t="shared" si="27"/>
        <v>8.950733398253816E-3</v>
      </c>
      <c r="M98" s="175">
        <f t="shared" si="36"/>
        <v>-76243.530000000028</v>
      </c>
      <c r="N98" s="183">
        <f t="shared" si="37"/>
        <v>-0.19060882500000007</v>
      </c>
      <c r="O98" s="183">
        <f t="shared" si="29"/>
        <v>-0.49728480950892878</v>
      </c>
      <c r="P98" s="175" t="b">
        <f t="shared" si="33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4"/>
        <v>-1.6811563673144914</v>
      </c>
      <c r="Y98" s="807">
        <f t="shared" si="35"/>
        <v>-0.14790606059293021</v>
      </c>
    </row>
    <row r="99" spans="1:25" ht="20.100000000000001" customHeight="1" x14ac:dyDescent="0.25">
      <c r="A99" s="163">
        <f t="shared" si="28"/>
        <v>141</v>
      </c>
      <c r="B99" s="167">
        <v>42374</v>
      </c>
      <c r="C99" s="198">
        <v>2016.71</v>
      </c>
      <c r="D99" s="171">
        <f t="shared" si="26"/>
        <v>2.0122623791400209E-3</v>
      </c>
      <c r="E99" s="199">
        <f t="shared" si="38"/>
        <v>-4.0776431194231473E-2</v>
      </c>
      <c r="F99" s="216">
        <v>4891.43</v>
      </c>
      <c r="G99" s="171">
        <f t="shared" si="24"/>
        <v>-2.3760574985518565E-3</v>
      </c>
      <c r="H99" s="201">
        <f t="shared" si="31"/>
        <v>-3.9332639393522703E-2</v>
      </c>
      <c r="I99" s="220">
        <v>326120.51</v>
      </c>
      <c r="J99" s="169">
        <v>400000</v>
      </c>
      <c r="K99" s="169">
        <f t="shared" si="32"/>
        <v>2364.0400000000373</v>
      </c>
      <c r="L99" s="171">
        <f t="shared" si="27"/>
        <v>7.3019081286623787E-3</v>
      </c>
      <c r="M99" s="175">
        <f t="shared" si="36"/>
        <v>-73879.489999999991</v>
      </c>
      <c r="N99" s="183">
        <f t="shared" si="37"/>
        <v>-0.18469872499999998</v>
      </c>
      <c r="O99" s="183">
        <f t="shared" si="29"/>
        <v>-0.4784482929521276</v>
      </c>
      <c r="P99" s="175" t="b">
        <f t="shared" si="33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4"/>
        <v>-1.6242618306121068</v>
      </c>
      <c r="Y99" s="807">
        <f t="shared" si="35"/>
        <v>-0.14392229380576851</v>
      </c>
    </row>
    <row r="100" spans="1:25" ht="20.100000000000001" customHeight="1" x14ac:dyDescent="0.25">
      <c r="A100" s="163">
        <f t="shared" si="28"/>
        <v>142</v>
      </c>
      <c r="B100" s="167">
        <v>42375</v>
      </c>
      <c r="C100" s="198">
        <v>1990.26</v>
      </c>
      <c r="D100" s="171">
        <f t="shared" si="26"/>
        <v>-1.3115420660382527E-2</v>
      </c>
      <c r="E100" s="199">
        <f t="shared" si="38"/>
        <v>-5.3357051806472509E-2</v>
      </c>
      <c r="F100" s="216">
        <v>4835.76</v>
      </c>
      <c r="G100" s="171">
        <f t="shared" si="24"/>
        <v>-1.1381129853641996E-2</v>
      </c>
      <c r="H100" s="201">
        <f t="shared" si="31"/>
        <v>-5.026611937074054E-2</v>
      </c>
      <c r="I100" s="220">
        <v>307215.3</v>
      </c>
      <c r="J100" s="169">
        <v>400000</v>
      </c>
      <c r="K100" s="169">
        <f t="shared" si="32"/>
        <v>-18905.210000000021</v>
      </c>
      <c r="L100" s="171">
        <f t="shared" si="27"/>
        <v>-5.7970012373646844E-2</v>
      </c>
      <c r="M100" s="175">
        <f t="shared" si="36"/>
        <v>-92784.700000000012</v>
      </c>
      <c r="N100" s="183">
        <f t="shared" si="37"/>
        <v>-0.23196175000000002</v>
      </c>
      <c r="O100" s="183">
        <f t="shared" si="29"/>
        <v>-0.59664809286971832</v>
      </c>
      <c r="P100" s="175" t="b">
        <f t="shared" si="33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4"/>
        <v>-1.9437268594096122</v>
      </c>
      <c r="Y100" s="807">
        <f t="shared" si="35"/>
        <v>-0.17860469819352751</v>
      </c>
    </row>
    <row r="101" spans="1:25" ht="20.100000000000001" customHeight="1" x14ac:dyDescent="0.25">
      <c r="A101" s="163">
        <f t="shared" si="28"/>
        <v>143</v>
      </c>
      <c r="B101" s="167">
        <v>42376</v>
      </c>
      <c r="C101" s="204">
        <v>1943.09</v>
      </c>
      <c r="D101" s="171">
        <f t="shared" si="26"/>
        <v>-2.3700421050516049E-2</v>
      </c>
      <c r="E101" s="199">
        <f t="shared" si="38"/>
        <v>-7.5792888263160968E-2</v>
      </c>
      <c r="F101" s="216">
        <v>4689.42</v>
      </c>
      <c r="G101" s="171">
        <f t="shared" si="24"/>
        <v>-3.0262047744304958E-2</v>
      </c>
      <c r="H101" s="201">
        <f t="shared" si="31"/>
        <v>-7.9007011410727218E-2</v>
      </c>
      <c r="I101" s="220">
        <v>296450.84999999998</v>
      </c>
      <c r="J101" s="169">
        <v>400000</v>
      </c>
      <c r="K101" s="169">
        <f t="shared" si="32"/>
        <v>-10764.450000000012</v>
      </c>
      <c r="L101" s="171">
        <f t="shared" si="27"/>
        <v>-3.503878224814979E-2</v>
      </c>
      <c r="M101" s="175">
        <f t="shared" si="36"/>
        <v>-103549.15000000002</v>
      </c>
      <c r="N101" s="183">
        <f t="shared" si="37"/>
        <v>-0.25887287500000006</v>
      </c>
      <c r="O101" s="183">
        <f t="shared" si="29"/>
        <v>-0.66121201114510508</v>
      </c>
      <c r="P101" s="175" t="b">
        <f t="shared" si="33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4"/>
        <v>-2.132760480390671</v>
      </c>
      <c r="Y101" s="807">
        <f t="shared" si="35"/>
        <v>-0.18307998673683909</v>
      </c>
    </row>
    <row r="102" spans="1:25" ht="20.100000000000001" customHeight="1" x14ac:dyDescent="0.25">
      <c r="A102" s="163">
        <f t="shared" si="28"/>
        <v>144</v>
      </c>
      <c r="B102" s="167">
        <v>42377</v>
      </c>
      <c r="C102" s="204">
        <v>1922.03</v>
      </c>
      <c r="D102" s="171">
        <f t="shared" si="26"/>
        <v>-1.0838406867412187E-2</v>
      </c>
      <c r="E102" s="199">
        <f t="shared" si="38"/>
        <v>-8.5809820969920694E-2</v>
      </c>
      <c r="F102" s="216">
        <v>4643.63</v>
      </c>
      <c r="G102" s="171">
        <f t="shared" si="24"/>
        <v>-9.7645337802969162E-3</v>
      </c>
      <c r="H102" s="201">
        <f t="shared" si="31"/>
        <v>-8.8000078559223788E-2</v>
      </c>
      <c r="I102" s="220">
        <v>291709.24</v>
      </c>
      <c r="J102" s="169">
        <v>400000</v>
      </c>
      <c r="K102" s="169">
        <f t="shared" si="32"/>
        <v>-4741.609999999986</v>
      </c>
      <c r="L102" s="171">
        <f t="shared" si="27"/>
        <v>-1.5994590671607068E-2</v>
      </c>
      <c r="M102" s="175">
        <f t="shared" si="36"/>
        <v>-108290.76000000001</v>
      </c>
      <c r="N102" s="183">
        <f t="shared" si="37"/>
        <v>-0.27072690000000005</v>
      </c>
      <c r="O102" s="183">
        <f t="shared" si="29"/>
        <v>-0.68668750156250014</v>
      </c>
      <c r="P102" s="175" t="b">
        <f t="shared" si="33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4"/>
        <v>-2.2203700618719266</v>
      </c>
      <c r="Y102" s="807">
        <f t="shared" si="35"/>
        <v>-0.18491707903007937</v>
      </c>
    </row>
    <row r="103" spans="1:25" ht="20.100000000000001" customHeight="1" x14ac:dyDescent="0.25">
      <c r="A103" s="163">
        <f t="shared" si="28"/>
        <v>147</v>
      </c>
      <c r="B103" s="172">
        <v>42380</v>
      </c>
      <c r="C103" s="215">
        <v>1923.67</v>
      </c>
      <c r="D103" s="171">
        <f t="shared" si="26"/>
        <v>8.5326451720321749E-4</v>
      </c>
      <c r="E103" s="209">
        <f t="shared" si="38"/>
        <v>-8.5029774928178675E-2</v>
      </c>
      <c r="F103" s="219">
        <v>4637.9799999999996</v>
      </c>
      <c r="G103" s="171">
        <f t="shared" si="24"/>
        <v>-1.2167205397502698E-3</v>
      </c>
      <c r="H103" s="203">
        <f t="shared" si="31"/>
        <v>-8.9109727595891405E-2</v>
      </c>
      <c r="I103" s="221">
        <v>278511.46999999997</v>
      </c>
      <c r="J103" s="173">
        <v>400000</v>
      </c>
      <c r="K103" s="173">
        <f t="shared" si="32"/>
        <v>-13197.770000000019</v>
      </c>
      <c r="L103" s="171">
        <f t="shared" si="27"/>
        <v>-4.5242893231630298E-2</v>
      </c>
      <c r="M103" s="182">
        <f t="shared" si="36"/>
        <v>-121488.53000000003</v>
      </c>
      <c r="N103" s="184">
        <f t="shared" si="37"/>
        <v>-0.3037213250000001</v>
      </c>
      <c r="O103" s="183">
        <f t="shared" si="29"/>
        <v>-0.75465451670918382</v>
      </c>
      <c r="P103" s="182" t="b">
        <f t="shared" si="33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4"/>
        <v>-2.3942610811481182</v>
      </c>
      <c r="Y103" s="807">
        <f t="shared" si="35"/>
        <v>-0.21869155007182142</v>
      </c>
    </row>
    <row r="104" spans="1:25" ht="20.100000000000001" customHeight="1" x14ac:dyDescent="0.25">
      <c r="A104" s="163">
        <f t="shared" si="28"/>
        <v>148</v>
      </c>
      <c r="B104" s="172">
        <v>42381</v>
      </c>
      <c r="C104" s="208">
        <v>1938.68</v>
      </c>
      <c r="D104" s="171">
        <f t="shared" si="26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4"/>
        <v>1.0269557005420487E-2</v>
      </c>
      <c r="H104" s="203">
        <f t="shared" si="31"/>
        <v>-7.9755288017754417E-2</v>
      </c>
      <c r="I104" s="221">
        <v>272280.59000000003</v>
      </c>
      <c r="J104" s="173">
        <v>400000</v>
      </c>
      <c r="K104" s="173">
        <f t="shared" si="32"/>
        <v>-6230.8799999999464</v>
      </c>
      <c r="L104" s="171">
        <f t="shared" si="27"/>
        <v>-2.2372076812491589E-2</v>
      </c>
      <c r="M104" s="182">
        <f t="shared" si="36"/>
        <v>-127719.40999999997</v>
      </c>
      <c r="N104" s="184">
        <f t="shared" si="37"/>
        <v>-0.31929852499999994</v>
      </c>
      <c r="O104" s="183">
        <f t="shared" si="29"/>
        <v>-0.78799855578547284</v>
      </c>
      <c r="P104" s="182" t="b">
        <f t="shared" si="33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4"/>
        <v>-2.5001111439637489</v>
      </c>
      <c r="Y104" s="807">
        <f t="shared" si="35"/>
        <v>-0.24140807390508168</v>
      </c>
    </row>
    <row r="105" spans="1:25" ht="20.100000000000001" customHeight="1" x14ac:dyDescent="0.25">
      <c r="A105" s="163">
        <f t="shared" si="28"/>
        <v>149</v>
      </c>
      <c r="B105" s="172">
        <v>42382</v>
      </c>
      <c r="C105" s="208">
        <v>1890.28</v>
      </c>
      <c r="D105" s="171">
        <f t="shared" si="26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4"/>
        <v>-3.4051062721822623E-2</v>
      </c>
      <c r="H105" s="203">
        <f t="shared" si="31"/>
        <v>-0.11109059842488746</v>
      </c>
      <c r="I105" s="221">
        <v>259060.64</v>
      </c>
      <c r="J105" s="173">
        <v>400000</v>
      </c>
      <c r="K105" s="173">
        <f t="shared" si="32"/>
        <v>-13219.950000000012</v>
      </c>
      <c r="L105" s="171">
        <f t="shared" si="27"/>
        <v>-4.8552671345394142E-2</v>
      </c>
      <c r="M105" s="182">
        <f t="shared" si="36"/>
        <v>-140939.35999999999</v>
      </c>
      <c r="N105" s="184">
        <f t="shared" si="37"/>
        <v>-0.35234839999999995</v>
      </c>
      <c r="O105" s="183">
        <f t="shared" si="29"/>
        <v>-0.86372653087248308</v>
      </c>
      <c r="P105" s="182" t="b">
        <f t="shared" si="33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4"/>
        <v>-2.6845028861280862</v>
      </c>
      <c r="Y105" s="807">
        <f t="shared" si="35"/>
        <v>-0.25143707791708669</v>
      </c>
    </row>
    <row r="106" spans="1:25" ht="20.100000000000001" customHeight="1" x14ac:dyDescent="0.25">
      <c r="A106" s="163">
        <f t="shared" si="28"/>
        <v>150</v>
      </c>
      <c r="B106" s="172">
        <v>42383</v>
      </c>
      <c r="C106" s="208">
        <v>1921.84</v>
      </c>
      <c r="D106" s="171">
        <f t="shared" si="26"/>
        <v>1.6695939225934753E-2</v>
      </c>
      <c r="E106" s="209">
        <f t="shared" ref="E106:E113" si="39">(C106-$C$2)/$C$2</f>
        <v>-8.5900192157683519E-2</v>
      </c>
      <c r="F106" s="219">
        <v>4615</v>
      </c>
      <c r="G106" s="171">
        <f t="shared" si="24"/>
        <v>1.9650645373680331E-2</v>
      </c>
      <c r="H106" s="203">
        <f t="shared" si="31"/>
        <v>-9.3622955005204511E-2</v>
      </c>
      <c r="I106" s="221">
        <v>267077.40000000002</v>
      </c>
      <c r="J106" s="173">
        <v>400000</v>
      </c>
      <c r="K106" s="173">
        <f t="shared" si="32"/>
        <v>8016.7600000000093</v>
      </c>
      <c r="L106" s="171">
        <f t="shared" si="27"/>
        <v>3.0945496004333228E-2</v>
      </c>
      <c r="M106" s="182">
        <f t="shared" si="36"/>
        <v>-132922.59999999998</v>
      </c>
      <c r="N106" s="184">
        <f t="shared" si="37"/>
        <v>-0.33230649999999995</v>
      </c>
      <c r="O106" s="183">
        <f t="shared" si="29"/>
        <v>-0.80916632749999995</v>
      </c>
      <c r="P106" s="182" t="b">
        <f t="shared" si="33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4"/>
        <v>-2.4932852527809537</v>
      </c>
      <c r="Y106" s="807">
        <f t="shared" si="35"/>
        <v>-0.24640630784231643</v>
      </c>
    </row>
    <row r="107" spans="1:25" ht="20.100000000000001" customHeight="1" x14ac:dyDescent="0.25">
      <c r="A107" s="163">
        <f t="shared" si="28"/>
        <v>151</v>
      </c>
      <c r="B107" s="172">
        <v>42384</v>
      </c>
      <c r="C107" s="208">
        <v>1880.33</v>
      </c>
      <c r="D107" s="171">
        <f t="shared" si="26"/>
        <v>-2.1599092536319357E-2</v>
      </c>
      <c r="E107" s="209">
        <f t="shared" si="39"/>
        <v>-0.10564391849470145</v>
      </c>
      <c r="F107" s="219">
        <v>4488.41</v>
      </c>
      <c r="G107" s="171">
        <f t="shared" si="24"/>
        <v>-2.7430119176598083E-2</v>
      </c>
      <c r="H107" s="203">
        <f t="shared" ref="H107:H121" si="40">(F107-F$2)/F$2</f>
        <v>-0.11848498536834456</v>
      </c>
      <c r="I107" s="221">
        <v>249397.57</v>
      </c>
      <c r="J107" s="173">
        <v>400000</v>
      </c>
      <c r="K107" s="173">
        <f t="shared" si="32"/>
        <v>-17679.830000000016</v>
      </c>
      <c r="L107" s="171">
        <f t="shared" si="27"/>
        <v>-6.619740195164403E-2</v>
      </c>
      <c r="M107" s="182">
        <f t="shared" si="36"/>
        <v>-150602.43</v>
      </c>
      <c r="N107" s="184">
        <f t="shared" si="37"/>
        <v>-0.376506075</v>
      </c>
      <c r="O107" s="183">
        <f t="shared" si="29"/>
        <v>-0.91072082048841063</v>
      </c>
      <c r="P107" s="182" t="b">
        <f t="shared" si="33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4"/>
        <v>-2.6977455241425847</v>
      </c>
      <c r="Y107" s="807">
        <f t="shared" si="35"/>
        <v>-0.27086215650529855</v>
      </c>
    </row>
    <row r="108" spans="1:25" ht="20.100000000000001" customHeight="1" x14ac:dyDescent="0.25">
      <c r="A108" s="163">
        <f t="shared" si="28"/>
        <v>155</v>
      </c>
      <c r="B108" s="167">
        <v>42388</v>
      </c>
      <c r="C108" s="198">
        <v>1881.33</v>
      </c>
      <c r="D108" s="171">
        <f t="shared" si="26"/>
        <v>5.3182154196337883E-4</v>
      </c>
      <c r="E108" s="199">
        <f t="shared" si="39"/>
        <v>-0.10516828066437098</v>
      </c>
      <c r="F108" s="216">
        <v>4476.95</v>
      </c>
      <c r="G108" s="171">
        <f t="shared" si="24"/>
        <v>-2.5532426850488339E-3</v>
      </c>
      <c r="H108" s="201">
        <f t="shared" si="40"/>
        <v>-0.12073570713121355</v>
      </c>
      <c r="I108" s="220">
        <v>241697.04</v>
      </c>
      <c r="J108" s="169">
        <v>400000</v>
      </c>
      <c r="K108" s="169">
        <f t="shared" si="32"/>
        <v>-7700.5300000000279</v>
      </c>
      <c r="L108" s="171">
        <f t="shared" si="27"/>
        <v>-3.0876523776875723E-2</v>
      </c>
      <c r="M108" s="175">
        <f t="shared" si="36"/>
        <v>-158302.96</v>
      </c>
      <c r="N108" s="183">
        <f t="shared" si="37"/>
        <v>-0.39575739999999998</v>
      </c>
      <c r="O108" s="183">
        <f t="shared" si="29"/>
        <v>-0.93258316354838711</v>
      </c>
      <c r="P108" s="175" t="b">
        <f t="shared" si="33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4"/>
        <v>-2.7539243613178055</v>
      </c>
      <c r="Y108" s="807">
        <f t="shared" si="35"/>
        <v>-0.29058911933562903</v>
      </c>
    </row>
    <row r="109" spans="1:25" ht="20.100000000000001" customHeight="1" x14ac:dyDescent="0.25">
      <c r="A109" s="163">
        <f t="shared" si="28"/>
        <v>156</v>
      </c>
      <c r="B109" s="167">
        <v>42389</v>
      </c>
      <c r="C109" s="198">
        <v>1859.33</v>
      </c>
      <c r="D109" s="171">
        <f t="shared" si="26"/>
        <v>-1.1693854879260949E-2</v>
      </c>
      <c r="E109" s="199">
        <f t="shared" si="39"/>
        <v>-0.11563231293164139</v>
      </c>
      <c r="F109" s="216">
        <v>4471.68</v>
      </c>
      <c r="G109" s="171">
        <f t="shared" si="24"/>
        <v>-1.1771406872981666E-3</v>
      </c>
      <c r="H109" s="201">
        <f t="shared" si="40"/>
        <v>-0.12177072490523785</v>
      </c>
      <c r="I109" s="220">
        <v>239001.56</v>
      </c>
      <c r="J109" s="169">
        <v>400000</v>
      </c>
      <c r="K109" s="169">
        <f t="shared" si="32"/>
        <v>-2695.4799999999814</v>
      </c>
      <c r="L109" s="171">
        <f t="shared" si="27"/>
        <v>-1.1152308691906121E-2</v>
      </c>
      <c r="M109" s="175">
        <f t="shared" si="36"/>
        <v>-160998.44</v>
      </c>
      <c r="N109" s="183">
        <f t="shared" si="37"/>
        <v>-0.40249610000000002</v>
      </c>
      <c r="O109" s="183">
        <f t="shared" si="29"/>
        <v>-0.94238269567307698</v>
      </c>
      <c r="P109" s="175" t="b">
        <f t="shared" si="33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4"/>
        <v>-2.794450300846401</v>
      </c>
      <c r="Y109" s="807">
        <f t="shared" si="35"/>
        <v>-0.28686378706835863</v>
      </c>
    </row>
    <row r="110" spans="1:25" ht="20.100000000000001" customHeight="1" x14ac:dyDescent="0.25">
      <c r="A110" s="163">
        <f t="shared" si="28"/>
        <v>157</v>
      </c>
      <c r="B110" s="167">
        <v>42390</v>
      </c>
      <c r="C110" s="198">
        <v>1868.99</v>
      </c>
      <c r="D110" s="171">
        <f t="shared" si="26"/>
        <v>5.1954198555394055E-3</v>
      </c>
      <c r="E110" s="199">
        <f t="shared" si="39"/>
        <v>-0.11103765149064898</v>
      </c>
      <c r="F110" s="216">
        <v>4472.0600000000004</v>
      </c>
      <c r="G110" s="171">
        <f t="shared" si="24"/>
        <v>8.4979247173346285E-5</v>
      </c>
      <c r="H110" s="201">
        <f t="shared" si="40"/>
        <v>-0.1216960936425947</v>
      </c>
      <c r="I110" s="220">
        <v>254991.51</v>
      </c>
      <c r="J110" s="169">
        <v>400000</v>
      </c>
      <c r="K110" s="169">
        <f t="shared" si="32"/>
        <v>15989.950000000012</v>
      </c>
      <c r="L110" s="171">
        <f t="shared" si="27"/>
        <v>6.6903119795536106E-2</v>
      </c>
      <c r="M110" s="175">
        <f t="shared" si="36"/>
        <v>-145008.49</v>
      </c>
      <c r="N110" s="183">
        <f t="shared" si="37"/>
        <v>-0.362521225</v>
      </c>
      <c r="O110" s="183">
        <f t="shared" si="29"/>
        <v>-0.84338138491242032</v>
      </c>
      <c r="P110" s="175" t="b">
        <f t="shared" si="33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4"/>
        <v>-2.3921534617724527</v>
      </c>
      <c r="Y110" s="807">
        <f t="shared" si="35"/>
        <v>-0.25148357350935102</v>
      </c>
    </row>
    <row r="111" spans="1:25" ht="20.100000000000001" customHeight="1" x14ac:dyDescent="0.25">
      <c r="A111" s="163">
        <f t="shared" si="28"/>
        <v>158</v>
      </c>
      <c r="B111" s="167">
        <v>42391</v>
      </c>
      <c r="C111" s="204">
        <v>1906.9</v>
      </c>
      <c r="D111" s="171">
        <f t="shared" si="26"/>
        <v>2.0283682630725729E-2</v>
      </c>
      <c r="E111" s="199">
        <f t="shared" si="39"/>
        <v>-9.3006221342820702E-2</v>
      </c>
      <c r="F111" s="216">
        <v>4591.18</v>
      </c>
      <c r="G111" s="171">
        <f t="shared" si="24"/>
        <v>2.6636494143638476E-2</v>
      </c>
      <c r="H111" s="201">
        <f t="shared" si="40"/>
        <v>-9.8301156784570881E-2</v>
      </c>
      <c r="I111" s="220">
        <v>260098.81</v>
      </c>
      <c r="J111" s="169">
        <v>400000</v>
      </c>
      <c r="K111" s="169">
        <f t="shared" si="32"/>
        <v>5107.2999999999884</v>
      </c>
      <c r="L111" s="171">
        <f t="shared" si="27"/>
        <v>2.0029294308661447E-2</v>
      </c>
      <c r="M111" s="175">
        <f t="shared" si="36"/>
        <v>-139901.19</v>
      </c>
      <c r="N111" s="183">
        <f t="shared" si="37"/>
        <v>-0.34975297500000002</v>
      </c>
      <c r="O111" s="183">
        <f t="shared" si="29"/>
        <v>-0.80852705138449377</v>
      </c>
      <c r="P111" s="175" t="b">
        <f t="shared" si="33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4"/>
        <v>-2.2925401531290008</v>
      </c>
      <c r="Y111" s="807">
        <f t="shared" si="35"/>
        <v>-0.25674675365717931</v>
      </c>
    </row>
    <row r="112" spans="1:25" ht="20.100000000000001" customHeight="1" x14ac:dyDescent="0.25">
      <c r="A112" s="163">
        <f t="shared" si="28"/>
        <v>161</v>
      </c>
      <c r="B112" s="172">
        <v>42394</v>
      </c>
      <c r="C112" s="215">
        <v>1877.08</v>
      </c>
      <c r="D112" s="171">
        <f t="shared" si="26"/>
        <v>-1.5637946405160294E-2</v>
      </c>
      <c r="E112" s="209">
        <f t="shared" si="39"/>
        <v>-0.10718974144327549</v>
      </c>
      <c r="F112" s="219">
        <v>4518.49</v>
      </c>
      <c r="G112" s="171">
        <f t="shared" si="24"/>
        <v>-1.5832531070443873E-2</v>
      </c>
      <c r="H112" s="203">
        <f t="shared" si="40"/>
        <v>-0.11257733173596246</v>
      </c>
      <c r="I112" s="221">
        <v>241845.81</v>
      </c>
      <c r="J112" s="173">
        <v>400000</v>
      </c>
      <c r="K112" s="173">
        <f t="shared" si="32"/>
        <v>-18253</v>
      </c>
      <c r="L112" s="171">
        <f t="shared" si="27"/>
        <v>-7.0177176127795435E-2</v>
      </c>
      <c r="M112" s="182">
        <f t="shared" si="36"/>
        <v>-158154.19</v>
      </c>
      <c r="N112" s="184">
        <f t="shared" si="37"/>
        <v>-0.39538547499999999</v>
      </c>
      <c r="O112" s="183">
        <f t="shared" si="29"/>
        <v>-0.89698474996118005</v>
      </c>
      <c r="P112" s="182" t="b">
        <f t="shared" si="33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4"/>
        <v>-2.4538100780579715</v>
      </c>
      <c r="Y112" s="807">
        <f t="shared" si="35"/>
        <v>-0.28819573355672451</v>
      </c>
    </row>
    <row r="113" spans="1:25" ht="20.100000000000001" customHeight="1" x14ac:dyDescent="0.25">
      <c r="A113" s="163">
        <f t="shared" si="28"/>
        <v>162</v>
      </c>
      <c r="B113" s="172">
        <v>42395</v>
      </c>
      <c r="C113" s="208">
        <v>1903.63</v>
      </c>
      <c r="D113" s="171">
        <f t="shared" si="26"/>
        <v>1.4144309246276229E-2</v>
      </c>
      <c r="E113" s="209">
        <f t="shared" si="39"/>
        <v>-9.4561557048001343E-2</v>
      </c>
      <c r="F113" s="219">
        <v>4567.67</v>
      </c>
      <c r="G113" s="171">
        <f t="shared" si="24"/>
        <v>1.0884167055808532E-2</v>
      </c>
      <c r="H113" s="203">
        <f t="shared" si="40"/>
        <v>-0.10291847516546532</v>
      </c>
      <c r="I113" s="221">
        <v>248055.57</v>
      </c>
      <c r="J113" s="173">
        <v>400000</v>
      </c>
      <c r="K113" s="173">
        <f t="shared" si="32"/>
        <v>6209.7600000000093</v>
      </c>
      <c r="L113" s="171">
        <f t="shared" si="27"/>
        <v>2.5676525055364861E-2</v>
      </c>
      <c r="M113" s="182">
        <f t="shared" si="36"/>
        <v>-151944.43</v>
      </c>
      <c r="N113" s="184">
        <f t="shared" si="37"/>
        <v>-0.37986107499999999</v>
      </c>
      <c r="O113" s="183">
        <f t="shared" si="29"/>
        <v>-0.85644603483796289</v>
      </c>
      <c r="P113" s="182" t="b">
        <f t="shared" si="33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4"/>
        <v>-2.3366886982819146</v>
      </c>
      <c r="Y113" s="807">
        <f t="shared" si="35"/>
        <v>-0.28529951795199865</v>
      </c>
    </row>
    <row r="114" spans="1:25" ht="20.100000000000001" customHeight="1" x14ac:dyDescent="0.25">
      <c r="A114" s="163">
        <f t="shared" si="28"/>
        <v>163</v>
      </c>
      <c r="B114" s="172">
        <v>42396</v>
      </c>
      <c r="C114" s="208">
        <v>1882.95</v>
      </c>
      <c r="D114" s="171">
        <f t="shared" si="26"/>
        <v>-1.0863455608495382E-2</v>
      </c>
      <c r="E114" s="209">
        <f>(C114-$C$2)/$C$2</f>
        <v>-0.10439774737923556</v>
      </c>
      <c r="F114" s="219">
        <v>4468.16</v>
      </c>
      <c r="G114" s="171">
        <f t="shared" si="24"/>
        <v>-2.1785724450321547E-2</v>
      </c>
      <c r="H114" s="203">
        <f t="shared" si="40"/>
        <v>-0.12246204607498477</v>
      </c>
      <c r="I114" s="221">
        <v>251585.76</v>
      </c>
      <c r="J114" s="173">
        <v>400000</v>
      </c>
      <c r="K114" s="173">
        <f t="shared" si="32"/>
        <v>3530.1900000000023</v>
      </c>
      <c r="L114" s="171">
        <f t="shared" si="27"/>
        <v>1.4231448219445353E-2</v>
      </c>
      <c r="M114" s="182">
        <f t="shared" si="36"/>
        <v>-148414.24</v>
      </c>
      <c r="N114" s="184">
        <f t="shared" si="37"/>
        <v>-0.37103559999999997</v>
      </c>
      <c r="O114" s="183">
        <f t="shared" si="29"/>
        <v>-0.83141566196319017</v>
      </c>
      <c r="P114" s="182" t="b">
        <f t="shared" si="33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4"/>
        <v>-2.272856957569918</v>
      </c>
      <c r="Y114" s="807">
        <f t="shared" si="35"/>
        <v>-0.26663785262076439</v>
      </c>
    </row>
    <row r="115" spans="1:25" ht="20.100000000000001" customHeight="1" x14ac:dyDescent="0.25">
      <c r="A115" s="163">
        <f t="shared" si="28"/>
        <v>164</v>
      </c>
      <c r="B115" s="172">
        <v>42397</v>
      </c>
      <c r="C115" s="208">
        <v>1893.36</v>
      </c>
      <c r="D115" s="171">
        <f t="shared" si="26"/>
        <v>5.5285589102205867E-3</v>
      </c>
      <c r="E115" s="209">
        <f t="shared" ref="E115:E124" si="41">(C115-$C$2)/$C$2</f>
        <v>-9.94463575654954E-2</v>
      </c>
      <c r="F115" s="219">
        <v>4506.67</v>
      </c>
      <c r="G115" s="171">
        <f t="shared" si="24"/>
        <v>8.6187602950655792E-3</v>
      </c>
      <c r="H115" s="203">
        <f t="shared" si="40"/>
        <v>-0.11489875680028276</v>
      </c>
      <c r="I115" s="221">
        <v>256687.6</v>
      </c>
      <c r="J115" s="173">
        <v>400000</v>
      </c>
      <c r="K115" s="173">
        <f t="shared" si="32"/>
        <v>5101.8399999999674</v>
      </c>
      <c r="L115" s="171">
        <f t="shared" si="27"/>
        <v>2.027873119686888E-2</v>
      </c>
      <c r="M115" s="182">
        <f t="shared" si="36"/>
        <v>-143312.4</v>
      </c>
      <c r="N115" s="184">
        <f t="shared" si="37"/>
        <v>-0.35828099999999996</v>
      </c>
      <c r="O115" s="183">
        <f t="shared" si="29"/>
        <v>-0.79793984908536575</v>
      </c>
      <c r="P115" s="182" t="b">
        <f t="shared" si="33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4"/>
        <v>-2.18119526361036</v>
      </c>
      <c r="Y115" s="807">
        <f t="shared" si="35"/>
        <v>-0.25883464243450455</v>
      </c>
    </row>
    <row r="116" spans="1:25" ht="20.100000000000001" customHeight="1" x14ac:dyDescent="0.25">
      <c r="A116" s="163">
        <f t="shared" si="28"/>
        <v>165</v>
      </c>
      <c r="B116" s="172">
        <v>42398</v>
      </c>
      <c r="C116" s="208">
        <v>1940.24</v>
      </c>
      <c r="D116" s="171">
        <f t="shared" si="26"/>
        <v>2.4760214644864217E-2</v>
      </c>
      <c r="E116" s="209">
        <f t="shared" si="41"/>
        <v>-7.7148456079602773E-2</v>
      </c>
      <c r="F116" s="219">
        <v>4613.95</v>
      </c>
      <c r="G116" s="171">
        <f t="shared" si="24"/>
        <v>2.3804716120772042E-2</v>
      </c>
      <c r="H116" s="203">
        <f t="shared" si="40"/>
        <v>-9.3829172967771088E-2</v>
      </c>
      <c r="I116" s="414">
        <v>272541.61</v>
      </c>
      <c r="J116" s="173">
        <v>400000</v>
      </c>
      <c r="K116" s="173">
        <f t="shared" si="32"/>
        <v>15854.010000000009</v>
      </c>
      <c r="L116" s="171">
        <f t="shared" si="27"/>
        <v>6.1763832767924937E-2</v>
      </c>
      <c r="M116" s="182">
        <f t="shared" si="36"/>
        <v>-127458.39000000001</v>
      </c>
      <c r="N116" s="184">
        <f t="shared" si="37"/>
        <v>-0.31864597500000003</v>
      </c>
      <c r="O116" s="183">
        <f t="shared" si="29"/>
        <v>-0.70536631738636368</v>
      </c>
      <c r="P116" s="182" t="b">
        <f t="shared" si="33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4"/>
        <v>-1.8727058206654761</v>
      </c>
      <c r="Y116" s="807">
        <f t="shared" si="35"/>
        <v>-0.24149751892039725</v>
      </c>
    </row>
    <row r="117" spans="1:25" ht="20.100000000000001" customHeight="1" x14ac:dyDescent="0.25">
      <c r="A117" s="163">
        <f t="shared" si="28"/>
        <v>168</v>
      </c>
      <c r="B117" s="242">
        <v>42401</v>
      </c>
      <c r="C117" s="243">
        <v>1939.38</v>
      </c>
      <c r="D117" s="171">
        <f t="shared" si="26"/>
        <v>-4.4324413474616542E-4</v>
      </c>
      <c r="E117" s="244">
        <f t="shared" si="41"/>
        <v>-7.755750461368692E-2</v>
      </c>
      <c r="F117" s="245">
        <v>4620.3599999999997</v>
      </c>
      <c r="G117" s="171">
        <f t="shared" si="24"/>
        <v>1.3892651632548803E-3</v>
      </c>
      <c r="H117" s="246">
        <f t="shared" si="40"/>
        <v>-9.2570261405817339E-2</v>
      </c>
      <c r="I117" s="247">
        <v>271687.27</v>
      </c>
      <c r="J117" s="248">
        <v>400000</v>
      </c>
      <c r="K117" s="248">
        <f t="shared" si="32"/>
        <v>-854.3399999999674</v>
      </c>
      <c r="L117" s="171">
        <f t="shared" si="27"/>
        <v>-3.1347139983504443E-3</v>
      </c>
      <c r="M117" s="249">
        <f t="shared" si="36"/>
        <v>-128312.72999999998</v>
      </c>
      <c r="N117" s="250">
        <f t="shared" si="37"/>
        <v>-0.32078182499999996</v>
      </c>
      <c r="O117" s="183">
        <f t="shared" si="29"/>
        <v>-0.69741405703124992</v>
      </c>
      <c r="P117" s="249" t="b">
        <f t="shared" si="33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4"/>
        <v>-1.8597570421263978</v>
      </c>
      <c r="Y117" s="807">
        <f t="shared" si="35"/>
        <v>-0.24322432038631303</v>
      </c>
    </row>
    <row r="118" spans="1:25" ht="20.100000000000001" customHeight="1" x14ac:dyDescent="0.25">
      <c r="A118" s="163">
        <f t="shared" si="28"/>
        <v>169</v>
      </c>
      <c r="B118" s="242">
        <v>42402</v>
      </c>
      <c r="C118" s="243">
        <v>1903.03</v>
      </c>
      <c r="D118" s="171">
        <f t="shared" si="26"/>
        <v>-1.8743103466056232E-2</v>
      </c>
      <c r="E118" s="244">
        <f t="shared" si="41"/>
        <v>-9.484693974619969E-2</v>
      </c>
      <c r="F118" s="245">
        <v>4516.9399999999996</v>
      </c>
      <c r="G118" s="171">
        <f t="shared" si="24"/>
        <v>-2.2383537213550478E-2</v>
      </c>
      <c r="H118" s="246">
        <f t="shared" si="40"/>
        <v>-0.11288174872832261</v>
      </c>
      <c r="I118" s="247">
        <v>258167.62</v>
      </c>
      <c r="J118" s="248">
        <v>400000</v>
      </c>
      <c r="K118" s="248">
        <f t="shared" si="32"/>
        <v>-13519.650000000023</v>
      </c>
      <c r="L118" s="171">
        <f t="shared" si="27"/>
        <v>-4.9761808862078899E-2</v>
      </c>
      <c r="M118" s="249">
        <f t="shared" si="36"/>
        <v>-141832.38</v>
      </c>
      <c r="N118" s="250">
        <f t="shared" si="37"/>
        <v>-0.35458095000000001</v>
      </c>
      <c r="O118" s="183">
        <f t="shared" si="29"/>
        <v>-0.76633545554733729</v>
      </c>
      <c r="P118" s="249" t="b">
        <f t="shared" si="33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4"/>
        <v>-2.0173529927552201</v>
      </c>
      <c r="Y118" s="807">
        <f t="shared" si="35"/>
        <v>-0.25973401025380033</v>
      </c>
    </row>
    <row r="119" spans="1:25" ht="20.100000000000001" customHeight="1" x14ac:dyDescent="0.25">
      <c r="A119" s="163">
        <f t="shared" si="28"/>
        <v>170</v>
      </c>
      <c r="B119" s="242">
        <v>42403</v>
      </c>
      <c r="C119" s="243">
        <v>1912.53</v>
      </c>
      <c r="D119" s="171">
        <f t="shared" si="26"/>
        <v>4.9920390114711801E-3</v>
      </c>
      <c r="E119" s="244">
        <f t="shared" si="41"/>
        <v>-9.0328380358060192E-2</v>
      </c>
      <c r="F119" s="245">
        <v>4504.2299999999996</v>
      </c>
      <c r="G119" s="171">
        <f t="shared" si="24"/>
        <v>-2.8138518554596779E-3</v>
      </c>
      <c r="H119" s="246">
        <f t="shared" si="40"/>
        <v>-0.11537796806567556</v>
      </c>
      <c r="I119" s="247">
        <v>270997.09999999998</v>
      </c>
      <c r="J119" s="248">
        <v>400000</v>
      </c>
      <c r="K119" s="248">
        <f t="shared" si="32"/>
        <v>12829.479999999981</v>
      </c>
      <c r="L119" s="171">
        <f t="shared" si="27"/>
        <v>4.9694380728303504E-2</v>
      </c>
      <c r="M119" s="249">
        <f t="shared" si="36"/>
        <v>-129002.90000000002</v>
      </c>
      <c r="N119" s="250">
        <f t="shared" si="37"/>
        <v>-0.32250725000000008</v>
      </c>
      <c r="O119" s="183">
        <f t="shared" si="29"/>
        <v>-0.69291631213235316</v>
      </c>
      <c r="P119" s="249" t="b">
        <f t="shared" si="33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4"/>
        <v>-1.7952873142152721</v>
      </c>
      <c r="Y119" s="807">
        <f t="shared" si="35"/>
        <v>-0.2321788696419399</v>
      </c>
    </row>
    <row r="120" spans="1:25" ht="20.100000000000001" customHeight="1" x14ac:dyDescent="0.25">
      <c r="A120" s="163">
        <f t="shared" si="28"/>
        <v>171</v>
      </c>
      <c r="B120" s="242">
        <v>42404</v>
      </c>
      <c r="C120" s="243">
        <v>1915.45</v>
      </c>
      <c r="D120" s="171">
        <f t="shared" si="26"/>
        <v>1.5267734362337181E-3</v>
      </c>
      <c r="E120" s="244">
        <f t="shared" si="41"/>
        <v>-8.8939517893495176E-2</v>
      </c>
      <c r="F120" s="245">
        <v>4509.55</v>
      </c>
      <c r="G120" s="171">
        <f t="shared" si="24"/>
        <v>1.1811119769640137E-3</v>
      </c>
      <c r="H120" s="246">
        <f t="shared" si="40"/>
        <v>-0.1143331303886717</v>
      </c>
      <c r="I120" s="247">
        <v>272162.3</v>
      </c>
      <c r="J120" s="248">
        <v>400000</v>
      </c>
      <c r="K120" s="248">
        <f t="shared" ref="K120:K151" si="42">I120-I119-J120+J119</f>
        <v>1165.2000000000116</v>
      </c>
      <c r="L120" s="171">
        <f t="shared" si="27"/>
        <v>4.2996770076137777E-3</v>
      </c>
      <c r="M120" s="249">
        <f t="shared" si="36"/>
        <v>-127837.70000000001</v>
      </c>
      <c r="N120" s="250">
        <f t="shared" si="37"/>
        <v>-0.31959425000000002</v>
      </c>
      <c r="O120" s="183">
        <f t="shared" si="29"/>
        <v>-0.68264210416666671</v>
      </c>
      <c r="P120" s="249" t="b">
        <f t="shared" si="33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4"/>
        <v>-1.7757261434499982</v>
      </c>
      <c r="Y120" s="807">
        <f t="shared" si="35"/>
        <v>-0.23065473210650483</v>
      </c>
    </row>
    <row r="121" spans="1:25" ht="20.100000000000001" customHeight="1" x14ac:dyDescent="0.25">
      <c r="A121" s="163">
        <f t="shared" si="28"/>
        <v>172</v>
      </c>
      <c r="B121" s="242">
        <v>42405</v>
      </c>
      <c r="C121" s="243">
        <v>1880.02</v>
      </c>
      <c r="D121" s="171">
        <f t="shared" si="26"/>
        <v>-1.8496958939152711E-2</v>
      </c>
      <c r="E121" s="244">
        <f t="shared" si="41"/>
        <v>-0.10579136622210387</v>
      </c>
      <c r="F121" s="245">
        <v>4363.1400000000003</v>
      </c>
      <c r="G121" s="171">
        <f t="shared" si="24"/>
        <v>-3.2466654100741725E-2</v>
      </c>
      <c r="H121" s="246">
        <f t="shared" si="40"/>
        <v>-0.1430877702928294</v>
      </c>
      <c r="I121" s="247">
        <v>257957.43</v>
      </c>
      <c r="J121" s="248">
        <v>400000</v>
      </c>
      <c r="K121" s="248">
        <f t="shared" si="42"/>
        <v>-14204.869999999995</v>
      </c>
      <c r="L121" s="171">
        <f t="shared" si="27"/>
        <v>-5.2192643874629206E-2</v>
      </c>
      <c r="M121" s="249">
        <f t="shared" si="36"/>
        <v>-142042.57</v>
      </c>
      <c r="N121" s="250">
        <f t="shared" si="37"/>
        <v>-0.355106425</v>
      </c>
      <c r="O121" s="183">
        <f t="shared" si="29"/>
        <v>-0.75408501006540696</v>
      </c>
      <c r="P121" s="249" t="b">
        <f t="shared" si="33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4"/>
        <v>-1.935270223670144</v>
      </c>
      <c r="Y121" s="807">
        <f t="shared" si="35"/>
        <v>-0.24931505877789611</v>
      </c>
    </row>
    <row r="122" spans="1:25" ht="20.100000000000001" customHeight="1" x14ac:dyDescent="0.25">
      <c r="A122" s="163">
        <f t="shared" si="28"/>
        <v>175</v>
      </c>
      <c r="B122" s="172">
        <v>42408</v>
      </c>
      <c r="C122" s="215">
        <v>1853.44</v>
      </c>
      <c r="D122" s="171">
        <f t="shared" si="26"/>
        <v>-1.4138147466516275E-2</v>
      </c>
      <c r="E122" s="209">
        <f t="shared" si="41"/>
        <v>-0.11843381975228781</v>
      </c>
      <c r="F122" s="219">
        <v>4283.75</v>
      </c>
      <c r="G122" s="171">
        <f t="shared" si="24"/>
        <v>-1.8195611417465476E-2</v>
      </c>
      <c r="H122" s="203">
        <f t="shared" ref="H122:H127" si="43">(F122-F$2)/F$2</f>
        <v>-0.15867981224345501</v>
      </c>
      <c r="I122" s="221">
        <v>244544.61</v>
      </c>
      <c r="J122" s="173">
        <v>400000</v>
      </c>
      <c r="K122" s="173">
        <f t="shared" si="42"/>
        <v>-13412.820000000007</v>
      </c>
      <c r="L122" s="171">
        <f t="shared" si="27"/>
        <v>-5.1996253800481756E-2</v>
      </c>
      <c r="M122" s="182">
        <f t="shared" si="36"/>
        <v>-155455.39000000001</v>
      </c>
      <c r="N122" s="184">
        <f t="shared" si="37"/>
        <v>-0.38863847500000004</v>
      </c>
      <c r="O122" s="183">
        <f t="shared" si="29"/>
        <v>-0.81114401710714301</v>
      </c>
      <c r="P122" s="182" t="b">
        <f t="shared" si="33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4"/>
        <v>-2.0558214380731248</v>
      </c>
      <c r="Y122" s="807">
        <f t="shared" si="35"/>
        <v>-0.2702046552477122</v>
      </c>
    </row>
    <row r="123" spans="1:25" ht="20.100000000000001" customHeight="1" x14ac:dyDescent="0.25">
      <c r="A123" s="163">
        <f t="shared" si="28"/>
        <v>176</v>
      </c>
      <c r="B123" s="172">
        <v>42409</v>
      </c>
      <c r="C123" s="208">
        <v>1852.21</v>
      </c>
      <c r="D123" s="171">
        <f t="shared" si="26"/>
        <v>-6.6363087016575565E-4</v>
      </c>
      <c r="E123" s="209">
        <f t="shared" si="41"/>
        <v>-0.11901885428359431</v>
      </c>
      <c r="F123" s="219">
        <v>4268.76</v>
      </c>
      <c r="G123" s="171">
        <f t="shared" si="24"/>
        <v>-3.4992704989786475E-3</v>
      </c>
      <c r="H123" s="203">
        <f t="shared" si="43"/>
        <v>-0.16162381915666665</v>
      </c>
      <c r="I123" s="221">
        <v>239055.86</v>
      </c>
      <c r="J123" s="173">
        <v>400000</v>
      </c>
      <c r="K123" s="173">
        <f t="shared" si="42"/>
        <v>-5488.75</v>
      </c>
      <c r="L123" s="171">
        <f t="shared" si="27"/>
        <v>-2.2444780115987838E-2</v>
      </c>
      <c r="M123" s="182">
        <f t="shared" si="36"/>
        <v>-160944.14000000001</v>
      </c>
      <c r="N123" s="184">
        <f t="shared" si="37"/>
        <v>-0.40236035000000003</v>
      </c>
      <c r="O123" s="183">
        <f t="shared" si="29"/>
        <v>-0.83501203316761374</v>
      </c>
      <c r="P123" s="182" t="b">
        <f t="shared" ref="P123:P154" si="44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4"/>
        <v>-2.1197968645803273</v>
      </c>
      <c r="Y123" s="807">
        <f t="shared" si="35"/>
        <v>-0.28334149571640571</v>
      </c>
    </row>
    <row r="124" spans="1:25" ht="20.100000000000001" customHeight="1" x14ac:dyDescent="0.25">
      <c r="A124" s="163">
        <f t="shared" si="28"/>
        <v>177</v>
      </c>
      <c r="B124" s="172">
        <v>42410</v>
      </c>
      <c r="C124" s="208">
        <v>1851.86</v>
      </c>
      <c r="D124" s="171">
        <f t="shared" si="26"/>
        <v>-1.8896345446797955E-4</v>
      </c>
      <c r="E124" s="209">
        <f t="shared" si="41"/>
        <v>-0.11918532752421003</v>
      </c>
      <c r="F124" s="219">
        <v>4283.59</v>
      </c>
      <c r="G124" s="171">
        <f t="shared" si="24"/>
        <v>3.4740767810792659E-3</v>
      </c>
      <c r="H124" s="203">
        <f t="shared" si="43"/>
        <v>-0.15871123593298891</v>
      </c>
      <c r="I124" s="221">
        <v>235873.97</v>
      </c>
      <c r="J124" s="173">
        <v>400000</v>
      </c>
      <c r="K124" s="173">
        <f t="shared" si="42"/>
        <v>-3181.890000000014</v>
      </c>
      <c r="L124" s="171">
        <f t="shared" si="27"/>
        <v>-1.3310236360656518E-2</v>
      </c>
      <c r="M124" s="182">
        <f t="shared" si="36"/>
        <v>-164126.03</v>
      </c>
      <c r="N124" s="184">
        <f t="shared" si="37"/>
        <v>-0.41031507499999997</v>
      </c>
      <c r="O124" s="183">
        <f t="shared" si="29"/>
        <v>-0.84670949798728801</v>
      </c>
      <c r="P124" s="182" t="b">
        <f t="shared" si="44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4"/>
        <v>-2.156943912237657</v>
      </c>
      <c r="Y124" s="807">
        <f t="shared" si="35"/>
        <v>-0.29112974747578996</v>
      </c>
    </row>
    <row r="125" spans="1:25" ht="20.100000000000001" customHeight="1" x14ac:dyDescent="0.25">
      <c r="A125" s="163">
        <f t="shared" si="28"/>
        <v>178</v>
      </c>
      <c r="B125" s="172">
        <v>42411</v>
      </c>
      <c r="C125" s="208">
        <v>1829.08</v>
      </c>
      <c r="D125" s="171">
        <f t="shared" si="26"/>
        <v>-1.2301145874958137E-2</v>
      </c>
      <c r="E125" s="209">
        <f>(C125-$C$2)/$C$2</f>
        <v>-0.13002035729913819</v>
      </c>
      <c r="F125" s="219">
        <v>4266.83</v>
      </c>
      <c r="G125" s="171">
        <f t="shared" si="24"/>
        <v>-3.9126060150481761E-3</v>
      </c>
      <c r="H125" s="203">
        <f t="shared" si="43"/>
        <v>-0.16200286741166997</v>
      </c>
      <c r="I125" s="221">
        <v>230609.13</v>
      </c>
      <c r="J125" s="173">
        <v>400000</v>
      </c>
      <c r="K125" s="173">
        <f t="shared" si="42"/>
        <v>-5264.8399999999674</v>
      </c>
      <c r="L125" s="171">
        <f t="shared" si="27"/>
        <v>-2.2320563816346364E-2</v>
      </c>
      <c r="M125" s="182">
        <f t="shared" si="36"/>
        <v>-169390.87</v>
      </c>
      <c r="N125" s="184">
        <f t="shared" si="37"/>
        <v>-0.42347717499999998</v>
      </c>
      <c r="O125" s="183">
        <f t="shared" si="29"/>
        <v>-0.86896088858848308</v>
      </c>
      <c r="P125" s="182" t="b">
        <f t="shared" si="44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4"/>
        <v>-2.2173628910061138</v>
      </c>
      <c r="Y125" s="807">
        <f t="shared" si="35"/>
        <v>-0.29345681770086179</v>
      </c>
    </row>
    <row r="126" spans="1:25" ht="20.100000000000001" customHeight="1" x14ac:dyDescent="0.25">
      <c r="A126" s="163">
        <f t="shared" si="28"/>
        <v>179</v>
      </c>
      <c r="B126" s="172">
        <v>42412</v>
      </c>
      <c r="C126" s="208">
        <v>1864.78</v>
      </c>
      <c r="D126" s="171">
        <f t="shared" si="26"/>
        <v>1.9518009053731956E-2</v>
      </c>
      <c r="E126" s="209">
        <f>(C126-$C$2)/$C$2</f>
        <v>-0.11304008675634029</v>
      </c>
      <c r="F126" s="219">
        <v>4337.51</v>
      </c>
      <c r="G126" s="171">
        <f t="shared" si="24"/>
        <v>1.656499087144327E-2</v>
      </c>
      <c r="H126" s="203">
        <f t="shared" si="43"/>
        <v>-0.14812145256004863</v>
      </c>
      <c r="I126" s="221">
        <v>236989.83</v>
      </c>
      <c r="J126" s="173">
        <v>400000</v>
      </c>
      <c r="K126" s="173">
        <f t="shared" si="42"/>
        <v>6380.6999999999534</v>
      </c>
      <c r="L126" s="171">
        <f t="shared" si="27"/>
        <v>2.7668895849873563E-2</v>
      </c>
      <c r="M126" s="182">
        <f t="shared" ref="M126:M157" si="45">I126-J126</f>
        <v>-163010.17000000001</v>
      </c>
      <c r="N126" s="184">
        <f t="shared" ref="N126:N157" si="46">M126/J126</f>
        <v>-0.40752542500000005</v>
      </c>
      <c r="O126" s="183">
        <f t="shared" si="29"/>
        <v>-0.83155676805167611</v>
      </c>
      <c r="P126" s="182" t="b">
        <f t="shared" si="44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4"/>
        <v>-2.1169960009379838</v>
      </c>
      <c r="Y126" s="807">
        <f t="shared" si="35"/>
        <v>-0.29448533824365974</v>
      </c>
    </row>
    <row r="127" spans="1:25" ht="20.100000000000001" customHeight="1" x14ac:dyDescent="0.25">
      <c r="A127" s="163">
        <f t="shared" si="28"/>
        <v>183</v>
      </c>
      <c r="B127" s="242">
        <v>42416</v>
      </c>
      <c r="C127" s="243">
        <v>1895.58</v>
      </c>
      <c r="D127" s="171">
        <f t="shared" si="26"/>
        <v>1.651669365823312E-2</v>
      </c>
      <c r="E127" s="244">
        <f>(C127-$C$2)/$C$2</f>
        <v>-9.8390441582161731E-2</v>
      </c>
      <c r="F127" s="245">
        <v>4435.96</v>
      </c>
      <c r="G127" s="171">
        <f t="shared" si="24"/>
        <v>2.2697354011863905E-2</v>
      </c>
      <c r="H127" s="246">
        <f t="shared" si="43"/>
        <v>-0.12878606359369166</v>
      </c>
      <c r="I127" s="247">
        <v>243663.46</v>
      </c>
      <c r="J127" s="248">
        <v>400000</v>
      </c>
      <c r="K127" s="248">
        <f t="shared" si="42"/>
        <v>6673.6300000000047</v>
      </c>
      <c r="L127" s="171">
        <f t="shared" si="27"/>
        <v>2.8159984755463999E-2</v>
      </c>
      <c r="M127" s="249">
        <f t="shared" si="45"/>
        <v>-156336.54</v>
      </c>
      <c r="N127" s="250">
        <f t="shared" si="46"/>
        <v>-0.39084135000000003</v>
      </c>
      <c r="O127" s="183">
        <f t="shared" si="29"/>
        <v>-0.78008089118852464</v>
      </c>
      <c r="P127" s="249" t="b">
        <f t="shared" si="44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4"/>
        <v>-1.9812424670785269</v>
      </c>
      <c r="Y127" s="807">
        <f t="shared" si="35"/>
        <v>-0.29245090841783827</v>
      </c>
    </row>
    <row r="128" spans="1:25" ht="20.100000000000001" customHeight="1" x14ac:dyDescent="0.25">
      <c r="A128" s="163">
        <f t="shared" si="28"/>
        <v>184</v>
      </c>
      <c r="B128" s="242">
        <v>42417</v>
      </c>
      <c r="C128" s="243">
        <v>1926.82</v>
      </c>
      <c r="D128" s="171">
        <f t="shared" si="26"/>
        <v>1.648044398020659E-2</v>
      </c>
      <c r="E128" s="244">
        <f t="shared" ref="E128:E133" si="47">(C128-$C$2)/$C$2</f>
        <v>-8.3531515762637745E-2</v>
      </c>
      <c r="F128" s="245">
        <v>4534.0600000000004</v>
      </c>
      <c r="G128" s="171">
        <f t="shared" si="24"/>
        <v>2.2114716994743044E-2</v>
      </c>
      <c r="H128" s="246">
        <f t="shared" ref="H128:H141" si="48">(F128-F$2)/F$2</f>
        <v>-0.10951941394819008</v>
      </c>
      <c r="I128" s="247">
        <v>249365.31</v>
      </c>
      <c r="J128" s="248">
        <v>400000</v>
      </c>
      <c r="K128" s="248">
        <f t="shared" si="42"/>
        <v>5701.8499999999767</v>
      </c>
      <c r="L128" s="171">
        <f t="shared" si="27"/>
        <v>2.3400513150391843E-2</v>
      </c>
      <c r="M128" s="249">
        <f t="shared" si="45"/>
        <v>-150634.69</v>
      </c>
      <c r="N128" s="250">
        <f t="shared" si="46"/>
        <v>-0.37658672500000001</v>
      </c>
      <c r="O128" s="183">
        <f t="shared" si="29"/>
        <v>-0.74754511579483707</v>
      </c>
      <c r="P128" s="249" t="b">
        <f t="shared" si="44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4"/>
        <v>-1.8977237802010791</v>
      </c>
      <c r="Y128" s="807">
        <f t="shared" si="35"/>
        <v>-0.29305520923736228</v>
      </c>
    </row>
    <row r="129" spans="1:25" ht="20.100000000000001" customHeight="1" x14ac:dyDescent="0.25">
      <c r="A129" s="163">
        <f t="shared" si="28"/>
        <v>185</v>
      </c>
      <c r="B129" s="242">
        <v>42418</v>
      </c>
      <c r="C129" s="243">
        <v>1917.83</v>
      </c>
      <c r="D129" s="171">
        <f t="shared" si="26"/>
        <v>-4.6657186452289312E-3</v>
      </c>
      <c r="E129" s="244">
        <f t="shared" si="47"/>
        <v>-8.7807499857308707E-2</v>
      </c>
      <c r="F129" s="245">
        <v>4487.53</v>
      </c>
      <c r="G129" s="171">
        <f t="shared" si="24"/>
        <v>-1.0262325597808731E-2</v>
      </c>
      <c r="H129" s="246">
        <f t="shared" si="48"/>
        <v>-0.11865781566078129</v>
      </c>
      <c r="I129" s="247">
        <v>241680.12</v>
      </c>
      <c r="J129" s="248">
        <v>400000</v>
      </c>
      <c r="K129" s="248">
        <f t="shared" si="42"/>
        <v>-7685.1900000000023</v>
      </c>
      <c r="L129" s="171">
        <f t="shared" si="27"/>
        <v>-3.0819002049643562E-2</v>
      </c>
      <c r="M129" s="249">
        <f t="shared" si="45"/>
        <v>-158319.88</v>
      </c>
      <c r="N129" s="250">
        <f t="shared" si="46"/>
        <v>-0.39579970000000003</v>
      </c>
      <c r="O129" s="183">
        <f t="shared" si="29"/>
        <v>-0.78143697527027034</v>
      </c>
      <c r="P129" s="249" t="b">
        <f t="shared" si="44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4"/>
        <v>-1.9816114756235828</v>
      </c>
      <c r="Y129" s="807">
        <f t="shared" si="35"/>
        <v>-0.30799220014269135</v>
      </c>
    </row>
    <row r="130" spans="1:25" ht="20.100000000000001" customHeight="1" x14ac:dyDescent="0.25">
      <c r="A130" s="163">
        <f t="shared" si="28"/>
        <v>186</v>
      </c>
      <c r="B130" s="242">
        <v>42419</v>
      </c>
      <c r="C130" s="243">
        <v>1917.78</v>
      </c>
      <c r="D130" s="171">
        <f t="shared" si="26"/>
        <v>-2.6071132477828863E-5</v>
      </c>
      <c r="E130" s="244">
        <f t="shared" si="47"/>
        <v>-8.7831281748825207E-2</v>
      </c>
      <c r="F130" s="245">
        <v>4504.43</v>
      </c>
      <c r="G130" s="171">
        <f t="shared" si="24"/>
        <v>3.7659915365469529E-3</v>
      </c>
      <c r="H130" s="246">
        <f t="shared" si="48"/>
        <v>-0.11533868845375798</v>
      </c>
      <c r="I130" s="247">
        <v>236145.17</v>
      </c>
      <c r="J130" s="248">
        <v>400000</v>
      </c>
      <c r="K130" s="248">
        <f t="shared" si="42"/>
        <v>-5534.9499999999534</v>
      </c>
      <c r="L130" s="171">
        <f t="shared" si="27"/>
        <v>-2.290196645052954E-2</v>
      </c>
      <c r="M130" s="249">
        <f t="shared" si="45"/>
        <v>-163854.82999999999</v>
      </c>
      <c r="N130" s="250">
        <f t="shared" si="46"/>
        <v>-0.40963707499999996</v>
      </c>
      <c r="O130" s="183">
        <f t="shared" si="29"/>
        <v>-0.80440828840725798</v>
      </c>
      <c r="P130" s="249" t="b">
        <f t="shared" si="44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4"/>
        <v>-2.0427474823868996</v>
      </c>
      <c r="Y130" s="807">
        <f t="shared" si="35"/>
        <v>-0.32180579325117475</v>
      </c>
    </row>
    <row r="131" spans="1:25" ht="20.100000000000001" customHeight="1" x14ac:dyDescent="0.25">
      <c r="A131" s="163">
        <f t="shared" si="28"/>
        <v>189</v>
      </c>
      <c r="B131" s="172">
        <v>42422</v>
      </c>
      <c r="C131" s="215">
        <v>1945.5</v>
      </c>
      <c r="D131" s="171">
        <f t="shared" si="26"/>
        <v>1.4454212683415213E-2</v>
      </c>
      <c r="E131" s="209">
        <f t="shared" si="47"/>
        <v>-7.4646601092064488E-2</v>
      </c>
      <c r="F131" s="219">
        <v>4570.6000000000004</v>
      </c>
      <c r="G131" s="171">
        <f t="shared" si="24"/>
        <v>1.4689982972318378E-2</v>
      </c>
      <c r="H131" s="203">
        <f t="shared" si="48"/>
        <v>-0.10234302885087485</v>
      </c>
      <c r="I131" s="221">
        <v>248415.23</v>
      </c>
      <c r="J131" s="173">
        <v>400000</v>
      </c>
      <c r="K131" s="173">
        <f t="shared" si="42"/>
        <v>12270.059999999998</v>
      </c>
      <c r="L131" s="171">
        <f t="shared" si="27"/>
        <v>5.1959817768028022E-2</v>
      </c>
      <c r="M131" s="182">
        <f t="shared" si="45"/>
        <v>-151584.76999999999</v>
      </c>
      <c r="N131" s="184">
        <f t="shared" si="46"/>
        <v>-0.37896192499999998</v>
      </c>
      <c r="O131" s="183">
        <f t="shared" si="29"/>
        <v>-0.73235895823412689</v>
      </c>
      <c r="P131" s="182" t="b">
        <f t="shared" si="44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4"/>
        <v>-1.8321848909479606</v>
      </c>
      <c r="Y131" s="807">
        <f t="shared" si="35"/>
        <v>-0.30431532390793548</v>
      </c>
    </row>
    <row r="132" spans="1:25" ht="20.100000000000001" customHeight="1" x14ac:dyDescent="0.25">
      <c r="A132" s="163">
        <f t="shared" si="28"/>
        <v>190</v>
      </c>
      <c r="B132" s="172">
        <v>42423</v>
      </c>
      <c r="C132" s="208">
        <v>1921.27</v>
      </c>
      <c r="D132" s="171">
        <f t="shared" si="26"/>
        <v>-1.2454381906964801E-2</v>
      </c>
      <c r="E132" s="209">
        <f t="shared" si="47"/>
        <v>-8.6171305720971855E-2</v>
      </c>
      <c r="F132" s="219">
        <v>4503.58</v>
      </c>
      <c r="G132" s="171">
        <f t="shared" ref="G132:G165" si="49">(F132-F131)/F131</f>
        <v>-1.4663282719993093E-2</v>
      </c>
      <c r="H132" s="203">
        <f t="shared" si="48"/>
        <v>-0.11550562680440715</v>
      </c>
      <c r="I132" s="221">
        <v>238794.23</v>
      </c>
      <c r="J132" s="173">
        <v>400000</v>
      </c>
      <c r="K132" s="173">
        <f t="shared" si="42"/>
        <v>-9621</v>
      </c>
      <c r="L132" s="171">
        <f t="shared" ref="L132:L195" si="50">K132/I131</f>
        <v>-3.8729509458820213E-2</v>
      </c>
      <c r="M132" s="182">
        <f t="shared" si="45"/>
        <v>-161205.76999999999</v>
      </c>
      <c r="N132" s="184">
        <f t="shared" si="46"/>
        <v>-0.40301442499999995</v>
      </c>
      <c r="O132" s="183">
        <f t="shared" si="29"/>
        <v>-0.7747422038486842</v>
      </c>
      <c r="P132" s="182" t="b">
        <f t="shared" si="44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4"/>
        <v>-1.9304752609628064</v>
      </c>
      <c r="Y132" s="807">
        <f t="shared" si="35"/>
        <v>-0.31684311927902808</v>
      </c>
    </row>
    <row r="133" spans="1:25" ht="20.100000000000001" customHeight="1" x14ac:dyDescent="0.25">
      <c r="A133" s="163">
        <f t="shared" si="28"/>
        <v>191</v>
      </c>
      <c r="B133" s="172">
        <v>42424</v>
      </c>
      <c r="C133" s="215">
        <v>1929.8</v>
      </c>
      <c r="D133" s="171">
        <f t="shared" ref="D133:D165" si="51">(C133-C132)/C132</f>
        <v>4.439771609404182E-3</v>
      </c>
      <c r="E133" s="209">
        <f t="shared" si="47"/>
        <v>-8.2114115028252929E-2</v>
      </c>
      <c r="F133" s="219">
        <v>4542.6000000000004</v>
      </c>
      <c r="G133" s="171">
        <f t="shared" si="49"/>
        <v>8.6642182441525276E-3</v>
      </c>
      <c r="H133" s="203">
        <f t="shared" si="48"/>
        <v>-0.10784217451931565</v>
      </c>
      <c r="I133" s="221">
        <v>242422.46</v>
      </c>
      <c r="J133" s="173">
        <v>400000</v>
      </c>
      <c r="K133" s="173">
        <f t="shared" si="42"/>
        <v>3628.2299999999814</v>
      </c>
      <c r="L133" s="171">
        <f t="shared" si="50"/>
        <v>1.5193960088566551E-2</v>
      </c>
      <c r="M133" s="182">
        <f t="shared" si="45"/>
        <v>-157577.54</v>
      </c>
      <c r="N133" s="184">
        <f t="shared" si="46"/>
        <v>-0.39394385000000004</v>
      </c>
      <c r="O133" s="183">
        <f t="shared" si="29"/>
        <v>-0.75334026812827226</v>
      </c>
      <c r="P133" s="182" t="b">
        <f t="shared" si="44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4"/>
        <v>-1.8806933426854744</v>
      </c>
      <c r="Y133" s="807">
        <f t="shared" si="35"/>
        <v>-0.3118297349717471</v>
      </c>
    </row>
    <row r="134" spans="1:25" ht="20.100000000000001" customHeight="1" x14ac:dyDescent="0.25">
      <c r="A134" s="163">
        <f t="shared" si="28"/>
        <v>192</v>
      </c>
      <c r="B134" s="172">
        <v>42425</v>
      </c>
      <c r="C134" s="215">
        <v>1951.7</v>
      </c>
      <c r="D134" s="171">
        <f t="shared" si="51"/>
        <v>1.1348326251425065E-2</v>
      </c>
      <c r="E134" s="209">
        <f t="shared" ref="E134:E139" si="52">(C134-$C$2)/$C$2</f>
        <v>-7.1697646544015531E-2</v>
      </c>
      <c r="F134" s="219">
        <v>4582.2</v>
      </c>
      <c r="G134" s="171">
        <f t="shared" si="49"/>
        <v>8.7174745740323713E-3</v>
      </c>
      <c r="H134" s="203">
        <f t="shared" si="48"/>
        <v>-0.10006481135966377</v>
      </c>
      <c r="I134" s="221">
        <v>244524.77</v>
      </c>
      <c r="J134" s="173">
        <v>400000</v>
      </c>
      <c r="K134" s="173">
        <f t="shared" si="42"/>
        <v>2102.3099999999977</v>
      </c>
      <c r="L134" s="171">
        <f t="shared" si="50"/>
        <v>8.6720925115601824E-3</v>
      </c>
      <c r="M134" s="182">
        <f t="shared" si="45"/>
        <v>-155475.23000000001</v>
      </c>
      <c r="N134" s="184">
        <f t="shared" si="46"/>
        <v>-0.38868807500000002</v>
      </c>
      <c r="O134" s="183">
        <f t="shared" si="29"/>
        <v>-0.73941833017578129</v>
      </c>
      <c r="P134" s="182" t="b">
        <f t="shared" si="44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4"/>
        <v>-1.8515650889385118</v>
      </c>
      <c r="Y134" s="807">
        <f t="shared" si="35"/>
        <v>-0.31699042845598446</v>
      </c>
    </row>
    <row r="135" spans="1:25" ht="20.100000000000001" customHeight="1" x14ac:dyDescent="0.25">
      <c r="A135" s="163">
        <f t="shared" ref="A135:A198" si="53">B135-$B$2</f>
        <v>193</v>
      </c>
      <c r="B135" s="172">
        <v>42426</v>
      </c>
      <c r="C135" s="215">
        <v>1948.05</v>
      </c>
      <c r="D135" s="171">
        <f t="shared" si="51"/>
        <v>-1.8701644719988169E-3</v>
      </c>
      <c r="E135" s="209">
        <f t="shared" si="52"/>
        <v>-7.3433724624721794E-2</v>
      </c>
      <c r="F135" s="219">
        <v>4590.47</v>
      </c>
      <c r="G135" s="171">
        <f t="shared" si="49"/>
        <v>1.8048099166340266E-3</v>
      </c>
      <c r="H135" s="203">
        <f t="shared" si="48"/>
        <v>-9.8440599406877771E-2</v>
      </c>
      <c r="I135" s="221">
        <v>251916.67</v>
      </c>
      <c r="J135" s="173">
        <v>400000</v>
      </c>
      <c r="K135" s="173">
        <f t="shared" si="42"/>
        <v>7391.9000000000233</v>
      </c>
      <c r="L135" s="171">
        <f t="shared" si="50"/>
        <v>3.0229657306292623E-2</v>
      </c>
      <c r="M135" s="182">
        <f t="shared" si="45"/>
        <v>-148083.32999999999</v>
      </c>
      <c r="N135" s="184">
        <f t="shared" si="46"/>
        <v>-0.37020832499999995</v>
      </c>
      <c r="O135" s="183">
        <f t="shared" ref="O135:O198" si="54">N135/(A135/365.25)</f>
        <v>-0.70061445961787561</v>
      </c>
      <c r="P135" s="182" t="b">
        <f t="shared" si="44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4"/>
        <v>-1.7497551123679653</v>
      </c>
      <c r="Y135" s="807">
        <f t="shared" si="35"/>
        <v>-0.29677460037527814</v>
      </c>
    </row>
    <row r="136" spans="1:25" ht="20.100000000000001" customHeight="1" x14ac:dyDescent="0.25">
      <c r="A136" s="163">
        <f t="shared" si="53"/>
        <v>196</v>
      </c>
      <c r="B136" s="242">
        <v>42429</v>
      </c>
      <c r="C136" s="243">
        <v>1932.23</v>
      </c>
      <c r="D136" s="171">
        <f t="shared" si="51"/>
        <v>-8.1209414542747545E-3</v>
      </c>
      <c r="E136" s="244">
        <f t="shared" si="52"/>
        <v>-8.0958315100549849E-2</v>
      </c>
      <c r="F136" s="245">
        <v>4557.95</v>
      </c>
      <c r="G136" s="171">
        <f t="shared" si="49"/>
        <v>-7.0842419185835953E-3</v>
      </c>
      <c r="H136" s="246">
        <f t="shared" si="48"/>
        <v>-0.10482746430465267</v>
      </c>
      <c r="I136" s="413">
        <v>254134.09</v>
      </c>
      <c r="J136" s="248">
        <v>400000</v>
      </c>
      <c r="K136" s="248">
        <f t="shared" si="42"/>
        <v>2217.4199999999837</v>
      </c>
      <c r="L136" s="171">
        <f t="shared" si="50"/>
        <v>8.8021963770797042E-3</v>
      </c>
      <c r="M136" s="249">
        <f t="shared" si="45"/>
        <v>-145865.91</v>
      </c>
      <c r="N136" s="250">
        <f t="shared" si="46"/>
        <v>-0.364664775</v>
      </c>
      <c r="O136" s="183">
        <f t="shared" si="54"/>
        <v>-0.67956025035076528</v>
      </c>
      <c r="P136" s="249" t="b">
        <f t="shared" si="44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4"/>
        <v>-1.7023143874821338</v>
      </c>
      <c r="Y136" s="807">
        <f t="shared" si="35"/>
        <v>-0.28370645989945015</v>
      </c>
    </row>
    <row r="137" spans="1:25" ht="20.100000000000001" customHeight="1" x14ac:dyDescent="0.25">
      <c r="A137" s="163">
        <f t="shared" si="53"/>
        <v>197</v>
      </c>
      <c r="B137" s="242">
        <v>42430</v>
      </c>
      <c r="C137" s="243">
        <v>1978.35</v>
      </c>
      <c r="D137" s="171">
        <f t="shared" si="51"/>
        <v>2.3868794087660315E-2</v>
      </c>
      <c r="E137" s="244">
        <f t="shared" si="52"/>
        <v>-5.9021898365708481E-2</v>
      </c>
      <c r="F137" s="245">
        <v>4689.59</v>
      </c>
      <c r="G137" s="171">
        <f t="shared" si="49"/>
        <v>2.8881405017606672E-2</v>
      </c>
      <c r="H137" s="246">
        <f t="shared" si="48"/>
        <v>-7.8973623740597382E-2</v>
      </c>
      <c r="I137" s="247">
        <v>256289.63</v>
      </c>
      <c r="J137" s="248">
        <v>400000</v>
      </c>
      <c r="K137" s="248">
        <f t="shared" si="42"/>
        <v>2155.5400000000373</v>
      </c>
      <c r="L137" s="171">
        <f t="shared" si="50"/>
        <v>8.4819002440799547E-3</v>
      </c>
      <c r="M137" s="249">
        <f t="shared" si="45"/>
        <v>-143710.37</v>
      </c>
      <c r="N137" s="250">
        <f t="shared" si="46"/>
        <v>-0.359275925</v>
      </c>
      <c r="O137" s="183">
        <f t="shared" si="54"/>
        <v>-0.66611944977791882</v>
      </c>
      <c r="P137" s="249" t="b">
        <f t="shared" si="44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4"/>
        <v>-1.6737424156111842</v>
      </c>
      <c r="Y137" s="807">
        <f t="shared" si="35"/>
        <v>-0.30025402663429152</v>
      </c>
    </row>
    <row r="138" spans="1:25" ht="20.100000000000001" customHeight="1" x14ac:dyDescent="0.25">
      <c r="A138" s="163">
        <f t="shared" si="53"/>
        <v>198</v>
      </c>
      <c r="B138" s="242">
        <v>42431</v>
      </c>
      <c r="C138" s="332">
        <v>1986.4749999999999</v>
      </c>
      <c r="D138" s="171">
        <f t="shared" si="51"/>
        <v>4.1069578183840069E-3</v>
      </c>
      <c r="E138" s="244">
        <f t="shared" si="52"/>
        <v>-5.5157340994273385E-2</v>
      </c>
      <c r="F138" s="245">
        <v>4703.42</v>
      </c>
      <c r="G138" s="171">
        <f t="shared" si="49"/>
        <v>2.9490851012561711E-3</v>
      </c>
      <c r="H138" s="246">
        <f t="shared" si="48"/>
        <v>-7.6257438576506811E-2</v>
      </c>
      <c r="I138" s="247">
        <v>273591.05</v>
      </c>
      <c r="J138" s="248">
        <v>400000</v>
      </c>
      <c r="K138" s="248">
        <f t="shared" si="42"/>
        <v>17301.419999999984</v>
      </c>
      <c r="L138" s="171">
        <f t="shared" si="50"/>
        <v>6.7507296335009667E-2</v>
      </c>
      <c r="M138" s="249">
        <f t="shared" si="45"/>
        <v>-126408.95000000001</v>
      </c>
      <c r="N138" s="250">
        <f t="shared" si="46"/>
        <v>-0.31602237500000002</v>
      </c>
      <c r="O138" s="183">
        <f t="shared" si="54"/>
        <v>-0.58296551751893944</v>
      </c>
      <c r="P138" s="249" t="b">
        <f t="shared" si="44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4"/>
        <v>-1.4297795728694578</v>
      </c>
      <c r="Y138" s="807">
        <f t="shared" si="35"/>
        <v>-0.26086503400572664</v>
      </c>
    </row>
    <row r="139" spans="1:25" ht="20.100000000000001" customHeight="1" x14ac:dyDescent="0.25">
      <c r="A139" s="163">
        <f t="shared" si="53"/>
        <v>199</v>
      </c>
      <c r="B139" s="242">
        <v>42432</v>
      </c>
      <c r="C139" s="332">
        <v>1993.4</v>
      </c>
      <c r="D139" s="171">
        <f t="shared" si="51"/>
        <v>3.4860745793428975E-3</v>
      </c>
      <c r="E139" s="244">
        <f t="shared" si="52"/>
        <v>-5.1863549019234775E-2</v>
      </c>
      <c r="F139" s="245">
        <v>4707.42</v>
      </c>
      <c r="G139" s="171">
        <f t="shared" si="49"/>
        <v>8.5044499534381367E-4</v>
      </c>
      <c r="H139" s="246">
        <f t="shared" si="48"/>
        <v>-7.5471846338158136E-2</v>
      </c>
      <c r="I139" s="247">
        <v>284465.09999999998</v>
      </c>
      <c r="J139" s="248">
        <v>400000</v>
      </c>
      <c r="K139" s="248">
        <f t="shared" si="42"/>
        <v>10874.049999999988</v>
      </c>
      <c r="L139" s="171">
        <f t="shared" si="50"/>
        <v>3.9745634954067355E-2</v>
      </c>
      <c r="M139" s="249">
        <f t="shared" si="45"/>
        <v>-115534.90000000002</v>
      </c>
      <c r="N139" s="250">
        <f t="shared" si="46"/>
        <v>-0.28883725000000005</v>
      </c>
      <c r="O139" s="183">
        <f t="shared" si="54"/>
        <v>-0.53013972644472374</v>
      </c>
      <c r="P139" s="249" t="b">
        <f t="shared" si="44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4"/>
        <v>-1.2926611916912221</v>
      </c>
      <c r="Y139" s="807">
        <f t="shared" si="35"/>
        <v>-0.23697370098076526</v>
      </c>
    </row>
    <row r="140" spans="1:25" ht="20.100000000000001" customHeight="1" x14ac:dyDescent="0.25">
      <c r="A140" s="163">
        <f t="shared" si="53"/>
        <v>200</v>
      </c>
      <c r="B140" s="242">
        <v>42433</v>
      </c>
      <c r="C140" s="243">
        <v>1999.99</v>
      </c>
      <c r="D140" s="171">
        <f t="shared" si="51"/>
        <v>3.3059095013544286E-3</v>
      </c>
      <c r="E140" s="244">
        <f t="shared" ref="E140:E171" si="55">(C140-$C$2)/$C$2</f>
        <v>-4.8729095717356993E-2</v>
      </c>
      <c r="F140" s="245">
        <v>4717.0200000000004</v>
      </c>
      <c r="G140" s="171">
        <f t="shared" si="49"/>
        <v>2.0393336477306811E-3</v>
      </c>
      <c r="H140" s="246">
        <f t="shared" si="48"/>
        <v>-7.3586424966121222E-2</v>
      </c>
      <c r="I140" s="247">
        <v>295168.58</v>
      </c>
      <c r="J140" s="248">
        <v>400000</v>
      </c>
      <c r="K140" s="248">
        <f t="shared" si="42"/>
        <v>10703.48000000004</v>
      </c>
      <c r="L140" s="171">
        <f t="shared" si="50"/>
        <v>3.7626689530631495E-2</v>
      </c>
      <c r="M140" s="249">
        <f t="shared" si="45"/>
        <v>-104831.41999999998</v>
      </c>
      <c r="N140" s="250">
        <f t="shared" si="46"/>
        <v>-0.26207854999999997</v>
      </c>
      <c r="O140" s="183">
        <f t="shared" si="54"/>
        <v>-0.47862095193749998</v>
      </c>
      <c r="P140" s="249" t="b">
        <f t="shared" si="44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4"/>
        <v>-1.1616497542352806</v>
      </c>
      <c r="Y140" s="807">
        <f t="shared" si="35"/>
        <v>-0.21334945428264296</v>
      </c>
    </row>
    <row r="141" spans="1:25" ht="20.100000000000001" customHeight="1" x14ac:dyDescent="0.25">
      <c r="A141" s="163">
        <f t="shared" si="53"/>
        <v>203</v>
      </c>
      <c r="B141" s="172">
        <v>42436</v>
      </c>
      <c r="C141" s="215">
        <v>2001.76</v>
      </c>
      <c r="D141" s="171">
        <f t="shared" si="51"/>
        <v>8.8500442502211603E-4</v>
      </c>
      <c r="E141" s="209">
        <f t="shared" si="55"/>
        <v>-4.7887216757672067E-2</v>
      </c>
      <c r="F141" s="219">
        <v>4708.5200000000004</v>
      </c>
      <c r="G141" s="171">
        <f t="shared" si="49"/>
        <v>-1.8019851516423502E-3</v>
      </c>
      <c r="H141" s="203">
        <f t="shared" si="48"/>
        <v>-7.5255808472612165E-2</v>
      </c>
      <c r="I141" s="221">
        <v>295332.12</v>
      </c>
      <c r="J141" s="173">
        <v>400000</v>
      </c>
      <c r="K141" s="173">
        <f t="shared" si="42"/>
        <v>163.53999999997905</v>
      </c>
      <c r="L141" s="171">
        <f t="shared" si="50"/>
        <v>5.5405626167927171E-4</v>
      </c>
      <c r="M141" s="182">
        <f t="shared" si="45"/>
        <v>-104667.88</v>
      </c>
      <c r="N141" s="184">
        <f t="shared" si="46"/>
        <v>-0.26166970000000001</v>
      </c>
      <c r="O141" s="183">
        <f t="shared" si="54"/>
        <v>-0.47081210800492612</v>
      </c>
      <c r="P141" s="182" t="b">
        <f t="shared" si="44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4"/>
        <v>-1.1468410640670468</v>
      </c>
      <c r="Y141" s="807">
        <f t="shared" si="35"/>
        <v>-0.21378248324232793</v>
      </c>
    </row>
    <row r="142" spans="1:25" ht="20.100000000000001" customHeight="1" x14ac:dyDescent="0.25">
      <c r="A142" s="163">
        <f t="shared" si="53"/>
        <v>204</v>
      </c>
      <c r="B142" s="172">
        <v>42437</v>
      </c>
      <c r="C142" s="215">
        <v>1979.26</v>
      </c>
      <c r="D142" s="171">
        <f t="shared" si="51"/>
        <v>-1.124010870434018E-2</v>
      </c>
      <c r="E142" s="209">
        <f t="shared" si="55"/>
        <v>-5.8589067940107716E-2</v>
      </c>
      <c r="F142" s="219">
        <v>4648.82</v>
      </c>
      <c r="G142" s="171">
        <f t="shared" si="49"/>
        <v>-1.2679143340157994E-2</v>
      </c>
      <c r="H142" s="203">
        <f t="shared" ref="H142:H173" si="56">(F142-F$2)/F$2</f>
        <v>-8.6980772629966438E-2</v>
      </c>
      <c r="I142" s="221">
        <v>279655.23</v>
      </c>
      <c r="J142" s="173">
        <v>400000</v>
      </c>
      <c r="K142" s="173">
        <f t="shared" si="42"/>
        <v>-15676.890000000014</v>
      </c>
      <c r="L142" s="171">
        <f t="shared" si="50"/>
        <v>-5.3082238396555084E-2</v>
      </c>
      <c r="M142" s="182">
        <f t="shared" si="45"/>
        <v>-120344.77000000002</v>
      </c>
      <c r="N142" s="184">
        <f t="shared" si="46"/>
        <v>-0.30086192500000003</v>
      </c>
      <c r="O142" s="183">
        <f t="shared" si="54"/>
        <v>-0.53867557895220597</v>
      </c>
      <c r="P142" s="182" t="b">
        <f t="shared" si="44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4"/>
        <v>-1.2982190146643116</v>
      </c>
      <c r="Y142" s="807">
        <f t="shared" si="35"/>
        <v>-0.24227285705989232</v>
      </c>
    </row>
    <row r="143" spans="1:25" ht="20.100000000000001" customHeight="1" x14ac:dyDescent="0.25">
      <c r="A143" s="163">
        <f t="shared" si="53"/>
        <v>205</v>
      </c>
      <c r="B143" s="172">
        <v>42438</v>
      </c>
      <c r="C143" s="215">
        <v>1989.26</v>
      </c>
      <c r="D143" s="171">
        <f t="shared" si="51"/>
        <v>5.0523933187150757E-3</v>
      </c>
      <c r="E143" s="209">
        <f t="shared" si="55"/>
        <v>-5.3832689636802981E-2</v>
      </c>
      <c r="F143" s="219">
        <v>4674.37</v>
      </c>
      <c r="G143" s="171">
        <f t="shared" si="49"/>
        <v>5.4960183444401336E-3</v>
      </c>
      <c r="H143" s="203">
        <f t="shared" si="56"/>
        <v>-8.1962802207514174E-2</v>
      </c>
      <c r="I143" s="221">
        <v>284441.56</v>
      </c>
      <c r="J143" s="173">
        <v>400000</v>
      </c>
      <c r="K143" s="173">
        <f t="shared" si="42"/>
        <v>4786.3300000000163</v>
      </c>
      <c r="L143" s="171">
        <f t="shared" si="50"/>
        <v>1.7115109915877547E-2</v>
      </c>
      <c r="M143" s="182">
        <f t="shared" si="45"/>
        <v>-115558.44</v>
      </c>
      <c r="N143" s="184">
        <f t="shared" si="46"/>
        <v>-0.28889609999999999</v>
      </c>
      <c r="O143" s="183">
        <f t="shared" si="54"/>
        <v>-0.5147282952439024</v>
      </c>
      <c r="P143" s="182" t="b">
        <f t="shared" si="44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4"/>
        <v>-1.2426978675553815</v>
      </c>
      <c r="Y143" s="807">
        <f t="shared" si="35"/>
        <v>-0.235063410363197</v>
      </c>
    </row>
    <row r="144" spans="1:25" ht="20.100000000000001" customHeight="1" x14ac:dyDescent="0.25">
      <c r="A144" s="163">
        <f t="shared" si="53"/>
        <v>206</v>
      </c>
      <c r="B144" s="172">
        <v>42439</v>
      </c>
      <c r="C144" s="215">
        <v>1989.57</v>
      </c>
      <c r="D144" s="171">
        <f t="shared" si="51"/>
        <v>1.5583684385145504E-4</v>
      </c>
      <c r="E144" s="209">
        <f t="shared" si="55"/>
        <v>-5.3685241909400563E-2</v>
      </c>
      <c r="F144" s="219">
        <v>4662.1499999999996</v>
      </c>
      <c r="G144" s="171">
        <f t="shared" si="49"/>
        <v>-2.6142560387817514E-3</v>
      </c>
      <c r="H144" s="203">
        <f t="shared" si="56"/>
        <v>-8.4362786495669459E-2</v>
      </c>
      <c r="I144" s="221">
        <v>287418.99</v>
      </c>
      <c r="J144" s="173">
        <v>400000</v>
      </c>
      <c r="K144" s="173">
        <f t="shared" si="42"/>
        <v>2977.429999999993</v>
      </c>
      <c r="L144" s="171">
        <f t="shared" si="50"/>
        <v>1.0467633492095856E-2</v>
      </c>
      <c r="M144" s="182">
        <f t="shared" si="45"/>
        <v>-112581.01000000001</v>
      </c>
      <c r="N144" s="184">
        <f t="shared" si="46"/>
        <v>-0.28145252500000001</v>
      </c>
      <c r="O144" s="183">
        <f t="shared" si="54"/>
        <v>-0.49903172211771846</v>
      </c>
      <c r="P144" s="182" t="b">
        <f t="shared" si="44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4"/>
        <v>-1.2082080074209431</v>
      </c>
      <c r="Y144" s="807">
        <f t="shared" si="35"/>
        <v>-0.22776728309059946</v>
      </c>
    </row>
    <row r="145" spans="1:25" ht="20.100000000000001" customHeight="1" x14ac:dyDescent="0.25">
      <c r="A145" s="163">
        <f t="shared" si="53"/>
        <v>207</v>
      </c>
      <c r="B145" s="172">
        <v>42440</v>
      </c>
      <c r="C145" s="215">
        <v>2022.19</v>
      </c>
      <c r="D145" s="171">
        <f t="shared" si="51"/>
        <v>1.6395502545776285E-2</v>
      </c>
      <c r="E145" s="209">
        <f t="shared" si="55"/>
        <v>-3.816993588402047E-2</v>
      </c>
      <c r="F145" s="219">
        <v>4748.47</v>
      </c>
      <c r="G145" s="171">
        <f t="shared" si="49"/>
        <v>1.8515062792917564E-2</v>
      </c>
      <c r="H145" s="203">
        <f t="shared" si="56"/>
        <v>-6.7409705992104718E-2</v>
      </c>
      <c r="I145" s="221">
        <v>297529.25</v>
      </c>
      <c r="J145" s="173">
        <v>400000</v>
      </c>
      <c r="K145" s="173">
        <f t="shared" si="42"/>
        <v>10110.260000000009</v>
      </c>
      <c r="L145" s="171">
        <f t="shared" si="50"/>
        <v>3.5176033427714741E-2</v>
      </c>
      <c r="M145" s="182">
        <f t="shared" si="45"/>
        <v>-102470.75</v>
      </c>
      <c r="N145" s="184">
        <f t="shared" si="46"/>
        <v>-0.25617687500000003</v>
      </c>
      <c r="O145" s="183">
        <f t="shared" si="54"/>
        <v>-0.45202223958333343</v>
      </c>
      <c r="P145" s="182" t="b">
        <f t="shared" si="44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4"/>
        <v>-1.0907292608579511</v>
      </c>
      <c r="Y145" s="807">
        <f t="shared" si="35"/>
        <v>-0.21800693911597957</v>
      </c>
    </row>
    <row r="146" spans="1:25" ht="20.100000000000001" customHeight="1" x14ac:dyDescent="0.25">
      <c r="A146" s="163">
        <f t="shared" si="53"/>
        <v>210</v>
      </c>
      <c r="B146" s="242">
        <v>42443</v>
      </c>
      <c r="C146" s="243">
        <v>2019.64</v>
      </c>
      <c r="D146" s="171">
        <f t="shared" si="51"/>
        <v>-1.261009103991195E-3</v>
      </c>
      <c r="E146" s="244">
        <f t="shared" si="55"/>
        <v>-3.9382812351363157E-2</v>
      </c>
      <c r="F146" s="245">
        <v>4750.28</v>
      </c>
      <c r="G146" s="171">
        <f t="shared" si="49"/>
        <v>3.8117541018464697E-4</v>
      </c>
      <c r="H146" s="246">
        <f t="shared" si="56"/>
        <v>-6.7054225504252038E-2</v>
      </c>
      <c r="I146" s="247">
        <v>295383.49</v>
      </c>
      <c r="J146" s="248">
        <v>400000</v>
      </c>
      <c r="K146" s="248">
        <f t="shared" si="42"/>
        <v>-2145.7600000000093</v>
      </c>
      <c r="L146" s="171">
        <f t="shared" si="50"/>
        <v>-7.2119295833939327E-3</v>
      </c>
      <c r="M146" s="249">
        <f t="shared" si="45"/>
        <v>-104616.51000000001</v>
      </c>
      <c r="N146" s="250">
        <f t="shared" si="46"/>
        <v>-0.26154127500000002</v>
      </c>
      <c r="O146" s="183">
        <f t="shared" si="54"/>
        <v>-0.45489500330357147</v>
      </c>
      <c r="P146" s="249" t="b">
        <f t="shared" si="44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4"/>
        <v>-1.1013071427947407</v>
      </c>
      <c r="Y146" s="807">
        <f t="shared" si="35"/>
        <v>-0.22215846264863687</v>
      </c>
    </row>
    <row r="147" spans="1:25" ht="20.100000000000001" customHeight="1" x14ac:dyDescent="0.25">
      <c r="A147" s="163">
        <f t="shared" si="53"/>
        <v>211</v>
      </c>
      <c r="B147" s="242">
        <v>42444</v>
      </c>
      <c r="C147" s="243">
        <v>2015.93</v>
      </c>
      <c r="D147" s="171">
        <f t="shared" si="51"/>
        <v>-1.8369610425620587E-3</v>
      </c>
      <c r="E147" s="244">
        <f t="shared" si="55"/>
        <v>-4.1147428701889227E-2</v>
      </c>
      <c r="F147" s="245">
        <v>4728.66</v>
      </c>
      <c r="G147" s="171">
        <f t="shared" si="49"/>
        <v>-4.5513106595821496E-3</v>
      </c>
      <c r="H147" s="246">
        <f t="shared" si="56"/>
        <v>-7.1300351552526661E-2</v>
      </c>
      <c r="I147" s="247">
        <v>295669.06</v>
      </c>
      <c r="J147" s="248">
        <v>400000</v>
      </c>
      <c r="K147" s="248">
        <f t="shared" si="42"/>
        <v>285.57000000000698</v>
      </c>
      <c r="L147" s="171">
        <f t="shared" si="50"/>
        <v>9.6677712082014809E-4</v>
      </c>
      <c r="M147" s="249">
        <f t="shared" si="45"/>
        <v>-104330.94</v>
      </c>
      <c r="N147" s="250">
        <f t="shared" si="46"/>
        <v>-0.26082735000000001</v>
      </c>
      <c r="O147" s="183">
        <f t="shared" si="54"/>
        <v>-0.45150326818720377</v>
      </c>
      <c r="P147" s="249" t="b">
        <f t="shared" si="44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4"/>
        <v>-1.0968864601377382</v>
      </c>
      <c r="Y147" s="807">
        <f t="shared" si="35"/>
        <v>-0.21967992129811079</v>
      </c>
    </row>
    <row r="148" spans="1:25" ht="20.100000000000001" customHeight="1" x14ac:dyDescent="0.25">
      <c r="A148" s="163">
        <f t="shared" si="53"/>
        <v>212</v>
      </c>
      <c r="B148" s="242">
        <v>42445</v>
      </c>
      <c r="C148" s="243">
        <v>2027.22</v>
      </c>
      <c r="D148" s="171">
        <f t="shared" si="51"/>
        <v>5.6003928707841853E-3</v>
      </c>
      <c r="E148" s="244">
        <f t="shared" si="55"/>
        <v>-3.5777477597458203E-2</v>
      </c>
      <c r="F148" s="245">
        <v>4763.97</v>
      </c>
      <c r="G148" s="171">
        <f t="shared" si="49"/>
        <v>7.467231731611154E-3</v>
      </c>
      <c r="H148" s="246">
        <f t="shared" si="56"/>
        <v>-6.4365536068503565E-2</v>
      </c>
      <c r="I148" s="247">
        <v>297622.03999999998</v>
      </c>
      <c r="J148" s="248">
        <v>400000</v>
      </c>
      <c r="K148" s="248">
        <f t="shared" si="42"/>
        <v>1952.9799999999814</v>
      </c>
      <c r="L148" s="171">
        <f t="shared" si="50"/>
        <v>6.6052903878409917E-3</v>
      </c>
      <c r="M148" s="249">
        <f t="shared" si="45"/>
        <v>-102377.96000000002</v>
      </c>
      <c r="N148" s="250">
        <f t="shared" si="46"/>
        <v>-0.25594490000000003</v>
      </c>
      <c r="O148" s="183">
        <f t="shared" si="54"/>
        <v>-0.44096167323113211</v>
      </c>
      <c r="P148" s="249" t="b">
        <f t="shared" si="44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7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4"/>
        <v>-1.0746618457569814</v>
      </c>
      <c r="Y148" s="807">
        <f t="shared" si="35"/>
        <v>-0.22016742240254183</v>
      </c>
    </row>
    <row r="149" spans="1:25" ht="20.100000000000001" customHeight="1" x14ac:dyDescent="0.25">
      <c r="A149" s="163">
        <f t="shared" si="53"/>
        <v>213</v>
      </c>
      <c r="B149" s="242">
        <v>42446</v>
      </c>
      <c r="C149" s="243">
        <v>2040.59</v>
      </c>
      <c r="D149" s="171">
        <f t="shared" si="51"/>
        <v>6.5952387999328593E-3</v>
      </c>
      <c r="E149" s="244">
        <f t="shared" si="55"/>
        <v>-2.9418199805939828E-2</v>
      </c>
      <c r="F149" s="245">
        <v>4774.9799999999996</v>
      </c>
      <c r="G149" s="171">
        <f t="shared" si="49"/>
        <v>2.3110976769373671E-3</v>
      </c>
      <c r="H149" s="246">
        <f t="shared" si="56"/>
        <v>-6.2203193432448942E-2</v>
      </c>
      <c r="I149" s="247">
        <v>298243.74</v>
      </c>
      <c r="J149" s="248">
        <v>400000</v>
      </c>
      <c r="K149" s="248">
        <f t="shared" si="42"/>
        <v>621.70000000001164</v>
      </c>
      <c r="L149" s="171">
        <f t="shared" si="50"/>
        <v>2.0888909974543946E-3</v>
      </c>
      <c r="M149" s="249">
        <f t="shared" si="45"/>
        <v>-101756.26000000001</v>
      </c>
      <c r="N149" s="250">
        <f t="shared" si="46"/>
        <v>-0.25439065</v>
      </c>
      <c r="O149" s="183">
        <f t="shared" si="54"/>
        <v>-0.43622622024647889</v>
      </c>
      <c r="P149" s="249" t="b">
        <f t="shared" si="44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7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4"/>
        <v>-1.0667266571557021</v>
      </c>
      <c r="Y149" s="807">
        <f t="shared" si="35"/>
        <v>-0.22497245019406018</v>
      </c>
    </row>
    <row r="150" spans="1:25" ht="20.100000000000001" customHeight="1" x14ac:dyDescent="0.25">
      <c r="A150" s="163">
        <f t="shared" si="53"/>
        <v>214</v>
      </c>
      <c r="B150" s="242">
        <v>42447</v>
      </c>
      <c r="C150" s="243">
        <v>2049.56</v>
      </c>
      <c r="D150" s="171">
        <f t="shared" si="51"/>
        <v>4.3957874928329688E-3</v>
      </c>
      <c r="E150" s="244">
        <f t="shared" si="55"/>
        <v>-2.5151728467875473E-2</v>
      </c>
      <c r="F150" s="245">
        <v>4795.6499999999996</v>
      </c>
      <c r="G150" s="171">
        <f t="shared" si="49"/>
        <v>4.3288139426762157E-3</v>
      </c>
      <c r="H150" s="246">
        <f t="shared" si="56"/>
        <v>-5.8143645540782093E-2</v>
      </c>
      <c r="I150" s="247">
        <v>302252.61</v>
      </c>
      <c r="J150" s="248">
        <v>400000</v>
      </c>
      <c r="K150" s="248">
        <f t="shared" si="42"/>
        <v>4008.8699999999953</v>
      </c>
      <c r="L150" s="171">
        <f t="shared" si="50"/>
        <v>1.3441589754742196E-2</v>
      </c>
      <c r="M150" s="249">
        <f t="shared" si="45"/>
        <v>-97747.390000000014</v>
      </c>
      <c r="N150" s="250">
        <f t="shared" si="46"/>
        <v>-0.24436847500000003</v>
      </c>
      <c r="O150" s="183">
        <f t="shared" si="54"/>
        <v>-0.41708217520443935</v>
      </c>
      <c r="P150" s="249" t="b">
        <f t="shared" si="44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7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4"/>
        <v>-1.0223019481153968</v>
      </c>
      <c r="Y150" s="807">
        <f t="shared" si="35"/>
        <v>-0.21921674653212456</v>
      </c>
    </row>
    <row r="151" spans="1:25" ht="20.100000000000001" customHeight="1" x14ac:dyDescent="0.25">
      <c r="A151" s="163">
        <f t="shared" si="53"/>
        <v>217</v>
      </c>
      <c r="B151" s="172">
        <v>42450</v>
      </c>
      <c r="C151" s="215">
        <v>2051.6</v>
      </c>
      <c r="D151" s="171">
        <f t="shared" si="51"/>
        <v>9.9533558422293736E-4</v>
      </c>
      <c r="E151" s="209">
        <f t="shared" si="55"/>
        <v>-2.4181427294001325E-2</v>
      </c>
      <c r="F151" s="219">
        <v>4808.87</v>
      </c>
      <c r="G151" s="171">
        <f t="shared" si="49"/>
        <v>2.7566648942271132E-3</v>
      </c>
      <c r="H151" s="203">
        <f t="shared" si="56"/>
        <v>-5.5547263193039639E-2</v>
      </c>
      <c r="I151" s="221">
        <v>302397.02</v>
      </c>
      <c r="J151" s="173">
        <v>400000</v>
      </c>
      <c r="K151" s="173">
        <f t="shared" si="42"/>
        <v>144.4100000000326</v>
      </c>
      <c r="L151" s="171">
        <f t="shared" si="50"/>
        <v>4.7777916624121991E-4</v>
      </c>
      <c r="M151" s="182">
        <f t="shared" si="45"/>
        <v>-97602.979999999981</v>
      </c>
      <c r="N151" s="184">
        <f t="shared" si="46"/>
        <v>-0.24400744999999996</v>
      </c>
      <c r="O151" s="183">
        <f t="shared" si="54"/>
        <v>-0.41070839222350225</v>
      </c>
      <c r="P151" s="182" t="b">
        <f t="shared" si="44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7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4"/>
        <v>-1.0100872160095207</v>
      </c>
      <c r="Y151" s="807">
        <f t="shared" si="35"/>
        <v>-0.21982602270599863</v>
      </c>
    </row>
    <row r="152" spans="1:25" ht="20.100000000000001" customHeight="1" x14ac:dyDescent="0.25">
      <c r="A152" s="163">
        <f t="shared" si="53"/>
        <v>218</v>
      </c>
      <c r="B152" s="172">
        <v>42451</v>
      </c>
      <c r="C152" s="215">
        <v>2052.6</v>
      </c>
      <c r="D152" s="171">
        <f t="shared" si="51"/>
        <v>4.8742444921037243E-4</v>
      </c>
      <c r="E152" s="209">
        <f t="shared" si="55"/>
        <v>-2.370578946367085E-2</v>
      </c>
      <c r="F152" s="219">
        <v>4809.87</v>
      </c>
      <c r="G152" s="171">
        <f t="shared" si="49"/>
        <v>2.0794906079806691E-4</v>
      </c>
      <c r="H152" s="203">
        <f t="shared" si="56"/>
        <v>-5.535086513345247E-2</v>
      </c>
      <c r="I152" s="221">
        <v>300927.05</v>
      </c>
      <c r="J152" s="173">
        <v>400000</v>
      </c>
      <c r="K152" s="173">
        <f t="shared" ref="K152:K183" si="58">I152-I151-J152+J151</f>
        <v>-1469.9700000000303</v>
      </c>
      <c r="L152" s="171">
        <f t="shared" si="50"/>
        <v>-4.8610598080630228E-3</v>
      </c>
      <c r="M152" s="182">
        <f t="shared" si="45"/>
        <v>-99072.950000000012</v>
      </c>
      <c r="N152" s="184">
        <f t="shared" si="46"/>
        <v>-0.24768237500000004</v>
      </c>
      <c r="O152" s="183">
        <f t="shared" si="54"/>
        <v>-0.41498159389334865</v>
      </c>
      <c r="P152" s="182" t="b">
        <f t="shared" si="44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7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4"/>
        <v>-1.0239577864055074</v>
      </c>
      <c r="Y152" s="807">
        <f t="shared" si="35"/>
        <v>-0.22397658553632918</v>
      </c>
    </row>
    <row r="153" spans="1:25" ht="20.100000000000001" customHeight="1" x14ac:dyDescent="0.25">
      <c r="A153" s="163">
        <f t="shared" si="53"/>
        <v>219</v>
      </c>
      <c r="B153" s="172">
        <v>42452</v>
      </c>
      <c r="C153" s="215">
        <v>2036.71</v>
      </c>
      <c r="D153" s="171">
        <f t="shared" si="51"/>
        <v>-7.7414011497612166E-3</v>
      </c>
      <c r="E153" s="209">
        <f t="shared" si="55"/>
        <v>-3.1263674587622012E-2</v>
      </c>
      <c r="F153" s="219">
        <v>4768.8599999999997</v>
      </c>
      <c r="G153" s="171">
        <f t="shared" si="49"/>
        <v>-8.5262179643109306E-3</v>
      </c>
      <c r="H153" s="203">
        <f t="shared" si="56"/>
        <v>-6.3405149557122412E-2</v>
      </c>
      <c r="I153" s="221">
        <v>283106.53999999998</v>
      </c>
      <c r="J153" s="173">
        <v>400000</v>
      </c>
      <c r="K153" s="173">
        <f t="shared" si="58"/>
        <v>-17820.510000000009</v>
      </c>
      <c r="L153" s="171">
        <f t="shared" si="50"/>
        <v>-5.9218704333824458E-2</v>
      </c>
      <c r="M153" s="182">
        <f t="shared" si="45"/>
        <v>-116893.46000000002</v>
      </c>
      <c r="N153" s="184">
        <f t="shared" si="46"/>
        <v>-0.29223365000000007</v>
      </c>
      <c r="O153" s="183">
        <f t="shared" si="54"/>
        <v>-0.48738968339041105</v>
      </c>
      <c r="P153" s="182" t="b">
        <f t="shared" si="44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7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4"/>
        <v>-1.1862320179918258</v>
      </c>
      <c r="Y153" s="807">
        <f t="shared" si="35"/>
        <v>-0.26096997541237804</v>
      </c>
    </row>
    <row r="154" spans="1:25" ht="20.100000000000001" customHeight="1" x14ac:dyDescent="0.25">
      <c r="A154" s="163">
        <f t="shared" si="53"/>
        <v>220</v>
      </c>
      <c r="B154" s="172">
        <v>42453</v>
      </c>
      <c r="C154" s="215">
        <v>2035.94</v>
      </c>
      <c r="D154" s="171">
        <f t="shared" si="51"/>
        <v>-3.7806069592626431E-4</v>
      </c>
      <c r="E154" s="209">
        <f t="shared" si="55"/>
        <v>-3.1629915716976466E-2</v>
      </c>
      <c r="F154" s="219">
        <v>4773.5</v>
      </c>
      <c r="G154" s="171">
        <f t="shared" si="49"/>
        <v>9.7297886706683098E-4</v>
      </c>
      <c r="H154" s="203">
        <f t="shared" si="56"/>
        <v>-6.2493862560637867E-2</v>
      </c>
      <c r="I154" s="221">
        <v>283603.99</v>
      </c>
      <c r="J154" s="173">
        <v>400000</v>
      </c>
      <c r="K154" s="173">
        <f t="shared" si="58"/>
        <v>497.45000000001164</v>
      </c>
      <c r="L154" s="171">
        <f t="shared" si="50"/>
        <v>1.7571123577717832E-3</v>
      </c>
      <c r="M154" s="182">
        <f t="shared" si="45"/>
        <v>-116396.01000000001</v>
      </c>
      <c r="N154" s="184">
        <f t="shared" si="46"/>
        <v>-0.29099002500000004</v>
      </c>
      <c r="O154" s="183">
        <f t="shared" si="54"/>
        <v>-0.48310957559659101</v>
      </c>
      <c r="P154" s="182" t="b">
        <f t="shared" si="44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9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4"/>
        <v>-1.1796718156280581</v>
      </c>
      <c r="Y154" s="807">
        <f t="shared" si="35"/>
        <v>-0.25936010928302355</v>
      </c>
    </row>
    <row r="155" spans="1:25" ht="20.100000000000001" customHeight="1" x14ac:dyDescent="0.25">
      <c r="A155" s="163">
        <f t="shared" si="53"/>
        <v>224</v>
      </c>
      <c r="B155" s="242">
        <v>42457</v>
      </c>
      <c r="C155" s="243">
        <v>2037.05</v>
      </c>
      <c r="D155" s="171">
        <f t="shared" si="51"/>
        <v>5.4520270734889045E-4</v>
      </c>
      <c r="E155" s="244">
        <f t="shared" si="55"/>
        <v>-3.1101957725309687E-2</v>
      </c>
      <c r="F155" s="245">
        <v>4766.78</v>
      </c>
      <c r="G155" s="171">
        <f t="shared" si="49"/>
        <v>-1.4077720749974348E-3</v>
      </c>
      <c r="H155" s="246">
        <f t="shared" si="56"/>
        <v>-6.3813657521063702E-2</v>
      </c>
      <c r="I155" s="247">
        <v>281306.2</v>
      </c>
      <c r="J155" s="248">
        <v>400000</v>
      </c>
      <c r="K155" s="248">
        <f t="shared" si="58"/>
        <v>-2297.789999999979</v>
      </c>
      <c r="L155" s="171">
        <f t="shared" si="50"/>
        <v>-8.1021074491934297E-3</v>
      </c>
      <c r="M155" s="249">
        <f t="shared" si="45"/>
        <v>-118693.79999999999</v>
      </c>
      <c r="N155" s="250">
        <f t="shared" si="46"/>
        <v>-0.29673449999999996</v>
      </c>
      <c r="O155" s="183">
        <f t="shared" si="54"/>
        <v>-0.48384944698660709</v>
      </c>
      <c r="P155" s="249" t="b">
        <f t="shared" ref="P155:P191" si="60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9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61">O155/W155</f>
        <v>-1.185114769089648</v>
      </c>
      <c r="Y155" s="807">
        <f t="shared" ref="Y155:Y218" si="62">-(E155-N155)</f>
        <v>-0.26563254227469024</v>
      </c>
    </row>
    <row r="156" spans="1:25" ht="20.100000000000001" customHeight="1" x14ac:dyDescent="0.25">
      <c r="A156" s="163">
        <f t="shared" si="53"/>
        <v>225</v>
      </c>
      <c r="B156" s="242">
        <v>42458</v>
      </c>
      <c r="C156" s="243">
        <v>2055.0100000000002</v>
      </c>
      <c r="D156" s="171">
        <f t="shared" si="51"/>
        <v>8.8166711666381598E-3</v>
      </c>
      <c r="E156" s="244">
        <f t="shared" si="55"/>
        <v>-2.2559502292574262E-2</v>
      </c>
      <c r="F156" s="245">
        <v>4846.62</v>
      </c>
      <c r="G156" s="171">
        <f t="shared" si="49"/>
        <v>1.6749252115683993E-2</v>
      </c>
      <c r="H156" s="246">
        <f t="shared" si="56"/>
        <v>-4.8133236443623925E-2</v>
      </c>
      <c r="I156" s="247">
        <v>285322.46999999997</v>
      </c>
      <c r="J156" s="248">
        <v>400000</v>
      </c>
      <c r="K156" s="248">
        <f t="shared" si="58"/>
        <v>4016.2699999999604</v>
      </c>
      <c r="L156" s="171">
        <f t="shared" si="50"/>
        <v>1.4277218205641967E-2</v>
      </c>
      <c r="M156" s="249">
        <f t="shared" si="45"/>
        <v>-114677.53000000003</v>
      </c>
      <c r="N156" s="250">
        <f t="shared" si="46"/>
        <v>-0.28669382500000007</v>
      </c>
      <c r="O156" s="183">
        <f t="shared" si="54"/>
        <v>-0.46539964258333344</v>
      </c>
      <c r="P156" s="249" t="b">
        <f t="shared" si="60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9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61"/>
        <v>-1.1422884429345836</v>
      </c>
      <c r="Y156" s="807">
        <f t="shared" si="62"/>
        <v>-0.26413432270742582</v>
      </c>
    </row>
    <row r="157" spans="1:25" ht="20.100000000000001" customHeight="1" x14ac:dyDescent="0.25">
      <c r="A157" s="163">
        <f t="shared" si="53"/>
        <v>226</v>
      </c>
      <c r="B157" s="242">
        <v>42459</v>
      </c>
      <c r="C157" s="243">
        <v>2063.9499999999998</v>
      </c>
      <c r="D157" s="171">
        <f t="shared" si="51"/>
        <v>4.3503437939472799E-3</v>
      </c>
      <c r="E157" s="244">
        <f t="shared" si="55"/>
        <v>-1.8307300089420026E-2</v>
      </c>
      <c r="F157" s="245">
        <v>4869.29</v>
      </c>
      <c r="G157" s="171">
        <f t="shared" si="49"/>
        <v>4.6774865782751845E-3</v>
      </c>
      <c r="H157" s="246">
        <f t="shared" si="56"/>
        <v>-4.3680892432782739E-2</v>
      </c>
      <c r="I157" s="247">
        <v>288126.49</v>
      </c>
      <c r="J157" s="248">
        <v>400000</v>
      </c>
      <c r="K157" s="248">
        <f t="shared" si="58"/>
        <v>2804.0200000000186</v>
      </c>
      <c r="L157" s="171">
        <f t="shared" si="50"/>
        <v>9.8275470557927635E-3</v>
      </c>
      <c r="M157" s="249">
        <f t="shared" si="45"/>
        <v>-111873.51000000001</v>
      </c>
      <c r="N157" s="250">
        <f t="shared" si="46"/>
        <v>-0.27968377500000002</v>
      </c>
      <c r="O157" s="183">
        <f t="shared" si="54"/>
        <v>-0.45201105672013281</v>
      </c>
      <c r="P157" s="249" t="b">
        <f t="shared" si="60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9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61"/>
        <v>-1.1123726625743722</v>
      </c>
      <c r="Y157" s="807">
        <f t="shared" si="62"/>
        <v>-0.26137647491058003</v>
      </c>
    </row>
    <row r="158" spans="1:25" ht="20.100000000000001" customHeight="1" x14ac:dyDescent="0.25">
      <c r="A158" s="163">
        <f t="shared" si="53"/>
        <v>227</v>
      </c>
      <c r="B158" s="242">
        <v>42460</v>
      </c>
      <c r="C158" s="243">
        <v>2059.7399999999998</v>
      </c>
      <c r="D158" s="171">
        <f t="shared" si="51"/>
        <v>-2.0397780953996156E-3</v>
      </c>
      <c r="E158" s="244">
        <f t="shared" si="55"/>
        <v>-2.0309735355111335E-2</v>
      </c>
      <c r="F158" s="245">
        <v>4869.84</v>
      </c>
      <c r="G158" s="171">
        <f t="shared" si="49"/>
        <v>1.129528124223823E-4</v>
      </c>
      <c r="H158" s="246">
        <f t="shared" si="56"/>
        <v>-4.3572873500009754E-2</v>
      </c>
      <c r="I158" s="471">
        <v>295667.37</v>
      </c>
      <c r="J158" s="248">
        <v>400000</v>
      </c>
      <c r="K158" s="248">
        <f t="shared" si="58"/>
        <v>7540.8800000000047</v>
      </c>
      <c r="L158" s="171">
        <f t="shared" si="50"/>
        <v>2.6172116281290222E-2</v>
      </c>
      <c r="M158" s="249">
        <f t="shared" ref="M158:M191" si="63">I158-J158</f>
        <v>-104332.63</v>
      </c>
      <c r="N158" s="250">
        <f t="shared" ref="N158:N189" si="64">M158/J158</f>
        <v>-0.26083157500000004</v>
      </c>
      <c r="O158" s="183">
        <f t="shared" si="54"/>
        <v>-0.41968604743942739</v>
      </c>
      <c r="P158" s="249" t="b">
        <f t="shared" si="60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9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61"/>
        <v>-1.0323719058163814</v>
      </c>
      <c r="Y158" s="807">
        <f t="shared" si="62"/>
        <v>-0.24052183964488871</v>
      </c>
    </row>
    <row r="159" spans="1:25" ht="20.100000000000001" customHeight="1" x14ac:dyDescent="0.25">
      <c r="A159" s="163">
        <f t="shared" si="53"/>
        <v>228</v>
      </c>
      <c r="B159" s="242">
        <v>42461</v>
      </c>
      <c r="C159" s="243">
        <v>2072.7800000000002</v>
      </c>
      <c r="D159" s="171">
        <f t="shared" si="51"/>
        <v>6.3308961325217843E-3</v>
      </c>
      <c r="E159" s="244">
        <f t="shared" si="55"/>
        <v>-1.4107418047601765E-2</v>
      </c>
      <c r="F159" s="245">
        <v>4914.54</v>
      </c>
      <c r="G159" s="171">
        <f t="shared" si="49"/>
        <v>9.1789463308855762E-3</v>
      </c>
      <c r="H159" s="246">
        <f t="shared" si="56"/>
        <v>-3.4793880236463237E-2</v>
      </c>
      <c r="I159" s="247">
        <v>293885.49</v>
      </c>
      <c r="J159" s="248">
        <v>400000</v>
      </c>
      <c r="K159" s="248">
        <f t="shared" si="58"/>
        <v>-1781.8800000000047</v>
      </c>
      <c r="L159" s="171">
        <f t="shared" si="50"/>
        <v>-6.026637298529103E-3</v>
      </c>
      <c r="M159" s="249">
        <f t="shared" si="63"/>
        <v>-106114.51000000001</v>
      </c>
      <c r="N159" s="250">
        <f t="shared" si="64"/>
        <v>-0.26528627500000002</v>
      </c>
      <c r="O159" s="183">
        <f t="shared" si="54"/>
        <v>-0.42498163133223682</v>
      </c>
      <c r="P159" s="249" t="b">
        <f t="shared" si="60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9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61"/>
        <v>-1.0486364914206709</v>
      </c>
      <c r="Y159" s="807">
        <f t="shared" si="62"/>
        <v>-0.25117885695239828</v>
      </c>
    </row>
    <row r="160" spans="1:25" ht="20.100000000000001" customHeight="1" x14ac:dyDescent="0.25">
      <c r="A160" s="163">
        <f t="shared" si="53"/>
        <v>231</v>
      </c>
      <c r="B160" s="172">
        <v>42464</v>
      </c>
      <c r="C160" s="215">
        <v>2066.13</v>
      </c>
      <c r="D160" s="171">
        <f t="shared" si="51"/>
        <v>-3.2082517199124318E-3</v>
      </c>
      <c r="E160" s="209">
        <f t="shared" si="55"/>
        <v>-1.7270409619299456E-2</v>
      </c>
      <c r="F160" s="219">
        <v>4891.79</v>
      </c>
      <c r="G160" s="171">
        <f t="shared" si="49"/>
        <v>-4.6291209350213854E-3</v>
      </c>
      <c r="H160" s="203">
        <f t="shared" si="56"/>
        <v>-3.9261936092071383E-2</v>
      </c>
      <c r="I160" s="221">
        <v>291382.05</v>
      </c>
      <c r="J160" s="173">
        <v>400000</v>
      </c>
      <c r="K160" s="173">
        <f t="shared" si="58"/>
        <v>-2503.4400000000023</v>
      </c>
      <c r="L160" s="171">
        <f t="shared" si="50"/>
        <v>-8.5184198784363334E-3</v>
      </c>
      <c r="M160" s="182">
        <f t="shared" si="63"/>
        <v>-108617.95000000001</v>
      </c>
      <c r="N160" s="184">
        <f t="shared" si="64"/>
        <v>-0.27154487500000002</v>
      </c>
      <c r="O160" s="183">
        <f t="shared" si="54"/>
        <v>-0.42935829261363634</v>
      </c>
      <c r="P160" s="182" t="b">
        <f t="shared" si="60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9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61"/>
        <v>-1.0625363103669607</v>
      </c>
      <c r="Y160" s="807">
        <f t="shared" si="62"/>
        <v>-0.25427446538070059</v>
      </c>
    </row>
    <row r="161" spans="1:25" ht="20.100000000000001" customHeight="1" x14ac:dyDescent="0.25">
      <c r="A161" s="163">
        <f t="shared" si="53"/>
        <v>232</v>
      </c>
      <c r="B161" s="172">
        <v>42465</v>
      </c>
      <c r="C161" s="215">
        <v>2045.17</v>
      </c>
      <c r="D161" s="171">
        <f t="shared" si="51"/>
        <v>-1.0144569799577004E-2</v>
      </c>
      <c r="E161" s="209">
        <f t="shared" si="55"/>
        <v>-2.7239778543026189E-2</v>
      </c>
      <c r="F161" s="219">
        <v>4843.93</v>
      </c>
      <c r="G161" s="171">
        <f t="shared" si="49"/>
        <v>-9.7837396944676028E-3</v>
      </c>
      <c r="H161" s="203">
        <f t="shared" si="56"/>
        <v>-4.8661547223913339E-2</v>
      </c>
      <c r="I161" s="221">
        <v>289909.68</v>
      </c>
      <c r="J161" s="173">
        <v>400000</v>
      </c>
      <c r="K161" s="173">
        <f t="shared" si="58"/>
        <v>-1472.3699999999953</v>
      </c>
      <c r="L161" s="171">
        <f t="shared" si="50"/>
        <v>-5.0530566313195871E-3</v>
      </c>
      <c r="M161" s="182">
        <f t="shared" si="63"/>
        <v>-110090.32</v>
      </c>
      <c r="N161" s="184">
        <f t="shared" si="64"/>
        <v>-0.27522580000000002</v>
      </c>
      <c r="O161" s="183">
        <f t="shared" si="54"/>
        <v>-0.43330268728448279</v>
      </c>
      <c r="P161" s="182" t="b">
        <f t="shared" si="60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9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61"/>
        <v>-1.0756247770147234</v>
      </c>
      <c r="Y161" s="807">
        <f t="shared" si="62"/>
        <v>-0.24798602145697382</v>
      </c>
    </row>
    <row r="162" spans="1:25" ht="20.100000000000001" customHeight="1" x14ac:dyDescent="0.25">
      <c r="A162" s="163">
        <f t="shared" si="53"/>
        <v>233</v>
      </c>
      <c r="B162" s="172">
        <v>42466</v>
      </c>
      <c r="C162" s="215">
        <v>2066.66</v>
      </c>
      <c r="D162" s="171">
        <f t="shared" si="51"/>
        <v>1.0507683957812691E-2</v>
      </c>
      <c r="E162" s="209">
        <f t="shared" si="55"/>
        <v>-1.7018321569224424E-2</v>
      </c>
      <c r="F162" s="219">
        <v>4920.71</v>
      </c>
      <c r="G162" s="171">
        <f t="shared" si="49"/>
        <v>1.5850765803799755E-2</v>
      </c>
      <c r="H162" s="203">
        <f t="shared" si="56"/>
        <v>-3.3582104208810373E-2</v>
      </c>
      <c r="I162" s="221">
        <v>294800.27</v>
      </c>
      <c r="J162" s="173">
        <v>400000</v>
      </c>
      <c r="K162" s="173">
        <f t="shared" si="58"/>
        <v>4890.5900000000256</v>
      </c>
      <c r="L162" s="171">
        <f t="shared" si="50"/>
        <v>1.6869357380547022E-2</v>
      </c>
      <c r="M162" s="182">
        <f t="shared" si="63"/>
        <v>-105199.72999999998</v>
      </c>
      <c r="N162" s="184">
        <f t="shared" si="64"/>
        <v>-0.26299932499999995</v>
      </c>
      <c r="O162" s="183">
        <f t="shared" si="54"/>
        <v>-0.41227683886802569</v>
      </c>
      <c r="P162" s="182" t="b">
        <f t="shared" si="60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9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61"/>
        <v>-1.0250454264618656</v>
      </c>
      <c r="Y162" s="807">
        <f t="shared" si="62"/>
        <v>-0.24598100343077553</v>
      </c>
    </row>
    <row r="163" spans="1:25" ht="20.100000000000001" customHeight="1" x14ac:dyDescent="0.25">
      <c r="A163" s="163">
        <f t="shared" si="53"/>
        <v>234</v>
      </c>
      <c r="B163" s="172">
        <v>42467</v>
      </c>
      <c r="C163" s="215">
        <v>2041.91</v>
      </c>
      <c r="D163" s="171">
        <f t="shared" si="51"/>
        <v>-1.1975845083371128E-2</v>
      </c>
      <c r="E163" s="209">
        <f t="shared" si="55"/>
        <v>-2.8790357869903527E-2</v>
      </c>
      <c r="F163" s="219">
        <v>4848.3599999999997</v>
      </c>
      <c r="G163" s="171">
        <f t="shared" si="49"/>
        <v>-1.4703162754968361E-2</v>
      </c>
      <c r="H163" s="203">
        <f t="shared" si="56"/>
        <v>-4.7791503819942287E-2</v>
      </c>
      <c r="I163" s="221">
        <v>296412.12</v>
      </c>
      <c r="J163" s="173">
        <v>400000</v>
      </c>
      <c r="K163" s="173">
        <f t="shared" si="58"/>
        <v>1611.8499999999767</v>
      </c>
      <c r="L163" s="171">
        <f t="shared" si="50"/>
        <v>5.4676001483986991E-3</v>
      </c>
      <c r="M163" s="182">
        <f t="shared" si="63"/>
        <v>-103587.88</v>
      </c>
      <c r="N163" s="184">
        <f t="shared" si="64"/>
        <v>-0.25896970000000002</v>
      </c>
      <c r="O163" s="183">
        <f t="shared" si="54"/>
        <v>-0.40422514070512827</v>
      </c>
      <c r="P163" s="182" t="b">
        <f t="shared" si="60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9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61"/>
        <v>-1.0079762493343094</v>
      </c>
      <c r="Y163" s="807">
        <f t="shared" si="62"/>
        <v>-0.2301793421300965</v>
      </c>
    </row>
    <row r="164" spans="1:25" ht="20.100000000000001" customHeight="1" x14ac:dyDescent="0.25">
      <c r="A164" s="163">
        <f t="shared" si="53"/>
        <v>235</v>
      </c>
      <c r="B164" s="172">
        <v>42468</v>
      </c>
      <c r="C164" s="215">
        <v>2047.6</v>
      </c>
      <c r="D164" s="171">
        <f t="shared" si="51"/>
        <v>2.7866066574921654E-3</v>
      </c>
      <c r="E164" s="209">
        <f t="shared" si="55"/>
        <v>-2.6083978615323217E-2</v>
      </c>
      <c r="F164" s="219">
        <v>4850.6899999999996</v>
      </c>
      <c r="G164" s="171">
        <f t="shared" si="49"/>
        <v>4.8057487480301122E-4</v>
      </c>
      <c r="H164" s="203">
        <f t="shared" si="56"/>
        <v>-4.7333896341104194E-2</v>
      </c>
      <c r="I164" s="221">
        <v>303561.17</v>
      </c>
      <c r="J164" s="173">
        <v>400000</v>
      </c>
      <c r="K164" s="173">
        <f t="shared" si="58"/>
        <v>7149.0499999999884</v>
      </c>
      <c r="L164" s="171">
        <f t="shared" si="50"/>
        <v>2.4118615662544394E-2</v>
      </c>
      <c r="M164" s="182">
        <f t="shared" si="63"/>
        <v>-96438.830000000016</v>
      </c>
      <c r="N164" s="184">
        <f t="shared" si="64"/>
        <v>-0.24109707500000005</v>
      </c>
      <c r="O164" s="183">
        <f t="shared" si="54"/>
        <v>-0.37472641125000006</v>
      </c>
      <c r="P164" s="182" t="b">
        <f t="shared" si="60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9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61"/>
        <v>-0.93447624612781754</v>
      </c>
      <c r="Y164" s="807">
        <f t="shared" si="62"/>
        <v>-0.21501309638467683</v>
      </c>
    </row>
    <row r="165" spans="1:25" ht="20.100000000000001" customHeight="1" x14ac:dyDescent="0.25">
      <c r="A165" s="163">
        <f t="shared" si="53"/>
        <v>238</v>
      </c>
      <c r="B165" s="242">
        <v>42471</v>
      </c>
      <c r="C165" s="243">
        <v>2041.99</v>
      </c>
      <c r="D165" s="171">
        <f t="shared" si="51"/>
        <v>-2.7397929283062613E-3</v>
      </c>
      <c r="E165" s="244">
        <f t="shared" si="55"/>
        <v>-2.8752306843477123E-2</v>
      </c>
      <c r="F165" s="245">
        <v>4833.3900000000003</v>
      </c>
      <c r="G165" s="171">
        <f t="shared" si="49"/>
        <v>-3.5665029098951436E-3</v>
      </c>
      <c r="H165" s="246">
        <f t="shared" si="56"/>
        <v>-5.0731582771962117E-2</v>
      </c>
      <c r="I165" s="247">
        <v>301374.21999999997</v>
      </c>
      <c r="J165" s="248">
        <v>400000</v>
      </c>
      <c r="K165" s="248">
        <f t="shared" si="58"/>
        <v>-2186.9500000000116</v>
      </c>
      <c r="L165" s="171">
        <f t="shared" si="50"/>
        <v>-7.2043140431960117E-3</v>
      </c>
      <c r="M165" s="249">
        <f t="shared" si="63"/>
        <v>-98625.780000000028</v>
      </c>
      <c r="N165" s="250">
        <f t="shared" si="64"/>
        <v>-0.24656445000000007</v>
      </c>
      <c r="O165" s="183">
        <f t="shared" si="54"/>
        <v>-0.3783935519432774</v>
      </c>
      <c r="P165" s="249" t="b">
        <f t="shared" si="60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9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61"/>
        <v>-0.9463601585207827</v>
      </c>
      <c r="Y165" s="807">
        <f t="shared" si="62"/>
        <v>-0.21781214315652295</v>
      </c>
    </row>
    <row r="166" spans="1:25" ht="20.100000000000001" customHeight="1" x14ac:dyDescent="0.25">
      <c r="A166" s="163">
        <f t="shared" si="53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5"/>
        <v>-1.9367972451056988E-2</v>
      </c>
      <c r="F166" s="245">
        <v>4872.09</v>
      </c>
      <c r="G166" s="171">
        <f t="shared" ref="G166:G171" si="65">(F166-F165)/F165</f>
        <v>8.0068026788651069E-3</v>
      </c>
      <c r="H166" s="246">
        <f t="shared" si="56"/>
        <v>-4.313097786593862E-2</v>
      </c>
      <c r="I166" s="247">
        <v>314750.48</v>
      </c>
      <c r="J166" s="248">
        <v>400000</v>
      </c>
      <c r="K166" s="248">
        <f t="shared" si="58"/>
        <v>13376.260000000009</v>
      </c>
      <c r="L166" s="171">
        <f t="shared" si="50"/>
        <v>4.438422105248422E-2</v>
      </c>
      <c r="M166" s="249">
        <f t="shared" si="63"/>
        <v>-85249.520000000019</v>
      </c>
      <c r="N166" s="250">
        <f t="shared" si="64"/>
        <v>-0.21312380000000006</v>
      </c>
      <c r="O166" s="183">
        <f t="shared" si="54"/>
        <v>-0.32570488682008375</v>
      </c>
      <c r="P166" s="249" t="b">
        <f t="shared" si="60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9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61"/>
        <v>-0.80912974593689146</v>
      </c>
      <c r="Y166" s="807">
        <f t="shared" si="62"/>
        <v>-0.19375582754894308</v>
      </c>
    </row>
    <row r="167" spans="1:25" ht="20.100000000000001" customHeight="1" x14ac:dyDescent="0.25">
      <c r="A167" s="163">
        <f t="shared" si="53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5"/>
        <v>-9.522269363216063E-3</v>
      </c>
      <c r="F167" s="245">
        <v>4947.42</v>
      </c>
      <c r="G167" s="171">
        <f t="shared" si="65"/>
        <v>1.5461537040571896E-2</v>
      </c>
      <c r="H167" s="246">
        <f t="shared" si="56"/>
        <v>-2.8336312037237021E-2</v>
      </c>
      <c r="I167" s="247">
        <v>317683.34999999998</v>
      </c>
      <c r="J167" s="248">
        <v>400000</v>
      </c>
      <c r="K167" s="248">
        <f t="shared" si="58"/>
        <v>2932.8699999999953</v>
      </c>
      <c r="L167" s="171">
        <f t="shared" si="50"/>
        <v>9.3180795149224102E-3</v>
      </c>
      <c r="M167" s="249">
        <f t="shared" si="63"/>
        <v>-82316.650000000023</v>
      </c>
      <c r="N167" s="250">
        <f t="shared" si="64"/>
        <v>-0.20579162500000006</v>
      </c>
      <c r="O167" s="183">
        <f t="shared" si="54"/>
        <v>-0.31318912929687509</v>
      </c>
      <c r="P167" s="249" t="b">
        <f t="shared" si="60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9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61"/>
        <v>-0.78005856138516372</v>
      </c>
      <c r="Y167" s="807">
        <f t="shared" si="62"/>
        <v>-0.19626935563678399</v>
      </c>
    </row>
    <row r="168" spans="1:25" ht="20.100000000000001" customHeight="1" x14ac:dyDescent="0.25">
      <c r="A168" s="163">
        <f t="shared" si="53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5"/>
        <v>-9.3510397442970322E-3</v>
      </c>
      <c r="F168" s="245">
        <v>4945.88</v>
      </c>
      <c r="G168" s="171">
        <f t="shared" si="65"/>
        <v>-3.1127335055442304E-4</v>
      </c>
      <c r="H168" s="246">
        <f t="shared" si="56"/>
        <v>-2.8638765049001261E-2</v>
      </c>
      <c r="I168" s="247">
        <v>317242.28999999998</v>
      </c>
      <c r="J168" s="248">
        <v>400000</v>
      </c>
      <c r="K168" s="248">
        <f t="shared" si="58"/>
        <v>-441.05999999999767</v>
      </c>
      <c r="L168" s="171">
        <f t="shared" si="50"/>
        <v>-1.3883636016807229E-3</v>
      </c>
      <c r="M168" s="249">
        <f t="shared" si="63"/>
        <v>-82757.710000000021</v>
      </c>
      <c r="N168" s="250">
        <f t="shared" si="64"/>
        <v>-0.20689427500000004</v>
      </c>
      <c r="O168" s="183">
        <f t="shared" si="54"/>
        <v>-0.3135607217582988</v>
      </c>
      <c r="P168" s="249" t="b">
        <f t="shared" si="60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9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61"/>
        <v>-0.78335868986521107</v>
      </c>
      <c r="Y168" s="807">
        <f t="shared" si="62"/>
        <v>-0.197543235255703</v>
      </c>
    </row>
    <row r="169" spans="1:25" ht="20.100000000000001" customHeight="1" x14ac:dyDescent="0.25">
      <c r="A169" s="163">
        <f t="shared" si="53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5"/>
        <v>-1.0326097296474589E-2</v>
      </c>
      <c r="F169" s="245">
        <v>4938.21</v>
      </c>
      <c r="G169" s="171">
        <f t="shared" si="65"/>
        <v>-1.5507857044651453E-3</v>
      </c>
      <c r="H169" s="246">
        <f t="shared" si="56"/>
        <v>-3.0145138166034879E-2</v>
      </c>
      <c r="I169" s="247">
        <v>317721.64</v>
      </c>
      <c r="J169" s="248">
        <v>400000</v>
      </c>
      <c r="K169" s="248">
        <f t="shared" si="58"/>
        <v>479.35000000003492</v>
      </c>
      <c r="L169" s="171">
        <f t="shared" si="50"/>
        <v>1.5109902276901196E-3</v>
      </c>
      <c r="M169" s="249">
        <f t="shared" si="63"/>
        <v>-82278.359999999986</v>
      </c>
      <c r="N169" s="250">
        <f t="shared" si="64"/>
        <v>-0.20569589999999996</v>
      </c>
      <c r="O169" s="183">
        <f t="shared" si="54"/>
        <v>-0.3104563118801652</v>
      </c>
      <c r="P169" s="249" t="b">
        <f t="shared" si="60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9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61"/>
        <v>-0.77793458571168805</v>
      </c>
      <c r="Y169" s="807">
        <f t="shared" si="62"/>
        <v>-0.19536980270352536</v>
      </c>
    </row>
    <row r="170" spans="1:25" ht="20.100000000000001" customHeight="1" x14ac:dyDescent="0.25">
      <c r="A170" s="163">
        <f t="shared" si="53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5"/>
        <v>-3.8288845341603954E-3</v>
      </c>
      <c r="F170" s="219">
        <v>4960.01</v>
      </c>
      <c r="G170" s="171">
        <f t="shared" si="65"/>
        <v>4.414555071574555E-3</v>
      </c>
      <c r="H170" s="203">
        <f t="shared" si="56"/>
        <v>-2.5863660467034508E-2</v>
      </c>
      <c r="I170" s="221">
        <v>322899.31</v>
      </c>
      <c r="J170" s="173">
        <v>400000</v>
      </c>
      <c r="K170" s="173">
        <f t="shared" si="58"/>
        <v>5177.6699999999837</v>
      </c>
      <c r="L170" s="171">
        <f t="shared" si="50"/>
        <v>1.6296245984377972E-2</v>
      </c>
      <c r="M170" s="182">
        <f t="shared" si="63"/>
        <v>-77100.69</v>
      </c>
      <c r="N170" s="184">
        <f t="shared" si="64"/>
        <v>-0.19275172500000001</v>
      </c>
      <c r="O170" s="183">
        <f t="shared" si="54"/>
        <v>-0.28735741859693881</v>
      </c>
      <c r="P170" s="182" t="b">
        <f t="shared" si="60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9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61"/>
        <v>-0.72125510978247331</v>
      </c>
      <c r="Y170" s="807">
        <f t="shared" si="62"/>
        <v>-0.18892284046583963</v>
      </c>
    </row>
    <row r="171" spans="1:25" ht="20.100000000000001" customHeight="1" x14ac:dyDescent="0.25">
      <c r="A171" s="163">
        <f t="shared" si="53"/>
        <v>246</v>
      </c>
      <c r="B171" s="172">
        <v>42479</v>
      </c>
      <c r="C171" s="215">
        <v>2100.8000000000002</v>
      </c>
      <c r="D171" s="171">
        <f t="shared" ref="D171:D190" si="66">(C171-C170)/C170</f>
        <v>3.0605570118269806E-3</v>
      </c>
      <c r="E171" s="209">
        <f t="shared" si="55"/>
        <v>-7.8004604174191543E-4</v>
      </c>
      <c r="F171" s="219">
        <v>4940.33</v>
      </c>
      <c r="G171" s="171">
        <f t="shared" si="65"/>
        <v>-3.9677339360203491E-3</v>
      </c>
      <c r="H171" s="203">
        <f t="shared" si="56"/>
        <v>-2.9728774279710095E-2</v>
      </c>
      <c r="I171" s="221">
        <v>328320.36</v>
      </c>
      <c r="J171" s="173">
        <v>400000</v>
      </c>
      <c r="K171" s="173">
        <f t="shared" si="58"/>
        <v>5421.0499999999884</v>
      </c>
      <c r="L171" s="171">
        <f t="shared" si="50"/>
        <v>1.6788670127539103E-2</v>
      </c>
      <c r="M171" s="182">
        <f t="shared" si="63"/>
        <v>-71679.640000000014</v>
      </c>
      <c r="N171" s="184">
        <f t="shared" si="64"/>
        <v>-0.17919910000000003</v>
      </c>
      <c r="O171" s="183">
        <f t="shared" si="54"/>
        <v>-0.26606695640243905</v>
      </c>
      <c r="P171" s="182" t="b">
        <f t="shared" si="60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9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61"/>
        <v>-0.66887932012516438</v>
      </c>
      <c r="Y171" s="807">
        <f t="shared" si="62"/>
        <v>-0.17841905395825811</v>
      </c>
    </row>
    <row r="172" spans="1:25" ht="20.100000000000001" customHeight="1" x14ac:dyDescent="0.25">
      <c r="A172" s="163">
        <f t="shared" si="53"/>
        <v>247</v>
      </c>
      <c r="B172" s="172">
        <v>42480</v>
      </c>
      <c r="C172" s="215">
        <v>2102.4</v>
      </c>
      <c r="D172" s="171">
        <f t="shared" si="66"/>
        <v>7.6161462300071826E-4</v>
      </c>
      <c r="E172" s="209">
        <f t="shared" ref="E172:E191" si="67">(C172-$C$2)/$C$2</f>
        <v>-1.9025513213201623E-5</v>
      </c>
      <c r="F172" s="219">
        <v>4948.13</v>
      </c>
      <c r="G172" s="171">
        <f t="shared" ref="G172:G190" si="68">(F172-F171)/F171</f>
        <v>1.5788418992253922E-3</v>
      </c>
      <c r="H172" s="203">
        <f t="shared" si="56"/>
        <v>-2.8196869414930124E-2</v>
      </c>
      <c r="I172" s="221">
        <v>329335.82</v>
      </c>
      <c r="J172" s="173">
        <v>400000</v>
      </c>
      <c r="K172" s="173">
        <f t="shared" si="58"/>
        <v>1015.460000000021</v>
      </c>
      <c r="L172" s="171">
        <f t="shared" si="50"/>
        <v>3.0928937821584411E-3</v>
      </c>
      <c r="M172" s="182">
        <f t="shared" si="63"/>
        <v>-70664.179999999993</v>
      </c>
      <c r="N172" s="184">
        <f t="shared" si="64"/>
        <v>-0.17666044999999997</v>
      </c>
      <c r="O172" s="183">
        <f t="shared" si="54"/>
        <v>-0.26123574640688257</v>
      </c>
      <c r="P172" s="182" t="b">
        <f t="shared" si="60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9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61"/>
        <v>-0.65864968259380929</v>
      </c>
      <c r="Y172" s="807">
        <f t="shared" si="62"/>
        <v>-0.17664142448678677</v>
      </c>
    </row>
    <row r="173" spans="1:25" ht="20.100000000000001" customHeight="1" x14ac:dyDescent="0.25">
      <c r="A173" s="163">
        <f t="shared" si="53"/>
        <v>248</v>
      </c>
      <c r="B173" s="172">
        <v>42481</v>
      </c>
      <c r="C173" s="215">
        <v>2091.48</v>
      </c>
      <c r="D173" s="171">
        <f t="shared" si="66"/>
        <v>-5.194063926940674E-3</v>
      </c>
      <c r="E173" s="209">
        <f t="shared" si="67"/>
        <v>-5.2129906204220026E-3</v>
      </c>
      <c r="F173" s="219">
        <v>4945.88</v>
      </c>
      <c r="G173" s="171">
        <f t="shared" si="68"/>
        <v>-4.547172366126193E-4</v>
      </c>
      <c r="H173" s="203">
        <f t="shared" si="56"/>
        <v>-2.8638765049001261E-2</v>
      </c>
      <c r="I173" s="221">
        <v>327169.02</v>
      </c>
      <c r="J173" s="173">
        <v>400000</v>
      </c>
      <c r="K173" s="173">
        <f t="shared" si="58"/>
        <v>-2166.7999999999884</v>
      </c>
      <c r="L173" s="171">
        <f t="shared" si="50"/>
        <v>-6.5793025489908393E-3</v>
      </c>
      <c r="M173" s="182">
        <f t="shared" si="63"/>
        <v>-72830.979999999981</v>
      </c>
      <c r="N173" s="184">
        <f t="shared" si="64"/>
        <v>-0.18207744999999995</v>
      </c>
      <c r="O173" s="183">
        <f t="shared" si="54"/>
        <v>-0.26816043795362893</v>
      </c>
      <c r="P173" s="182" t="b">
        <f t="shared" si="60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9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61"/>
        <v>-0.67797971095778808</v>
      </c>
      <c r="Y173" s="807">
        <f t="shared" si="62"/>
        <v>-0.17686445937957795</v>
      </c>
    </row>
    <row r="174" spans="1:25" ht="20.100000000000001" customHeight="1" x14ac:dyDescent="0.25">
      <c r="A174" s="163">
        <f t="shared" si="53"/>
        <v>249</v>
      </c>
      <c r="B174" s="172">
        <v>42482</v>
      </c>
      <c r="C174" s="215">
        <v>2091.58</v>
      </c>
      <c r="D174" s="171">
        <f t="shared" si="66"/>
        <v>4.7813031919936622E-5</v>
      </c>
      <c r="E174" s="209">
        <f t="shared" si="67"/>
        <v>-5.1654268373889992E-3</v>
      </c>
      <c r="F174" s="219">
        <v>4906.28</v>
      </c>
      <c r="G174" s="171">
        <f t="shared" si="68"/>
        <v>-8.006664132571022E-3</v>
      </c>
      <c r="H174" s="203">
        <f t="shared" ref="H174:H191" si="69">(F174-F$2)/F$2</f>
        <v>-3.6416128208653316E-2</v>
      </c>
      <c r="I174" s="221">
        <v>331471.71000000002</v>
      </c>
      <c r="J174" s="173">
        <v>400000</v>
      </c>
      <c r="K174" s="173">
        <f t="shared" si="58"/>
        <v>4302.6900000000023</v>
      </c>
      <c r="L174" s="171">
        <f t="shared" si="50"/>
        <v>1.3151275753431673E-2</v>
      </c>
      <c r="M174" s="182">
        <f t="shared" si="63"/>
        <v>-68528.289999999979</v>
      </c>
      <c r="N174" s="184">
        <f t="shared" si="64"/>
        <v>-0.17132072499999995</v>
      </c>
      <c r="O174" s="183">
        <f t="shared" si="54"/>
        <v>-0.25130479841867465</v>
      </c>
      <c r="P174" s="182" t="b">
        <f t="shared" si="60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9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61"/>
        <v>-0.63668591927203844</v>
      </c>
      <c r="Y174" s="807">
        <f t="shared" si="62"/>
        <v>-0.16615529816261096</v>
      </c>
    </row>
    <row r="175" spans="1:25" ht="20.100000000000001" customHeight="1" x14ac:dyDescent="0.25">
      <c r="A175" s="163">
        <f t="shared" si="53"/>
        <v>252</v>
      </c>
      <c r="B175" s="242">
        <v>42485</v>
      </c>
      <c r="C175" s="243">
        <v>2087.79</v>
      </c>
      <c r="D175" s="171">
        <f t="shared" si="66"/>
        <v>-1.8120272712494688E-3</v>
      </c>
      <c r="E175" s="244">
        <f t="shared" si="67"/>
        <v>-6.9680942143414753E-3</v>
      </c>
      <c r="F175" s="245">
        <v>4895.78</v>
      </c>
      <c r="G175" s="171">
        <f t="shared" si="68"/>
        <v>-2.140114302485794E-3</v>
      </c>
      <c r="H175" s="246">
        <f t="shared" si="69"/>
        <v>-3.8478307834318611E-2</v>
      </c>
      <c r="I175" s="247">
        <v>325541.03000000003</v>
      </c>
      <c r="J175" s="248">
        <v>400000</v>
      </c>
      <c r="K175" s="248">
        <f t="shared" si="58"/>
        <v>-5930.679999999993</v>
      </c>
      <c r="L175" s="171">
        <f t="shared" si="50"/>
        <v>-1.7891964294630129E-2</v>
      </c>
      <c r="M175" s="249">
        <f t="shared" si="63"/>
        <v>-74458.969999999972</v>
      </c>
      <c r="N175" s="250">
        <f t="shared" si="64"/>
        <v>-0.18614742499999992</v>
      </c>
      <c r="O175" s="183">
        <f t="shared" si="54"/>
        <v>-0.26980296421130939</v>
      </c>
      <c r="P175" s="249" t="b">
        <f t="shared" si="60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9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61"/>
        <v>-0.68454556214279183</v>
      </c>
      <c r="Y175" s="807">
        <f t="shared" si="62"/>
        <v>-0.17917933078565845</v>
      </c>
    </row>
    <row r="176" spans="1:25" ht="20.100000000000001" customHeight="1" x14ac:dyDescent="0.25">
      <c r="A176" s="163">
        <f t="shared" si="53"/>
        <v>253</v>
      </c>
      <c r="B176" s="242">
        <v>42486</v>
      </c>
      <c r="C176" s="332">
        <v>2091.6999999999998</v>
      </c>
      <c r="D176" s="171">
        <f t="shared" si="66"/>
        <v>1.8727937196748019E-3</v>
      </c>
      <c r="E176" s="244">
        <f t="shared" si="67"/>
        <v>-5.1083502977493939E-3</v>
      </c>
      <c r="F176" s="245">
        <v>4888.28</v>
      </c>
      <c r="G176" s="171">
        <f t="shared" si="68"/>
        <v>-1.5319315818929772E-3</v>
      </c>
      <c r="H176" s="246">
        <f t="shared" si="69"/>
        <v>-3.9951293281222398E-2</v>
      </c>
      <c r="I176" s="247">
        <v>336797.26</v>
      </c>
      <c r="J176" s="248">
        <v>400000</v>
      </c>
      <c r="K176" s="248">
        <f t="shared" si="58"/>
        <v>11256.229999999981</v>
      </c>
      <c r="L176" s="171">
        <f t="shared" si="50"/>
        <v>3.4576993259497826E-2</v>
      </c>
      <c r="M176" s="249">
        <f t="shared" si="63"/>
        <v>-63202.739999999991</v>
      </c>
      <c r="N176" s="250">
        <f t="shared" si="64"/>
        <v>-0.15800684999999998</v>
      </c>
      <c r="O176" s="183">
        <f t="shared" si="54"/>
        <v>-0.22811067969367585</v>
      </c>
      <c r="P176" s="249" t="b">
        <f t="shared" si="60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9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61"/>
        <v>-0.57715239257739082</v>
      </c>
      <c r="Y176" s="807">
        <f t="shared" si="62"/>
        <v>-0.15289849970225058</v>
      </c>
    </row>
    <row r="177" spans="1:25" ht="20.100000000000001" customHeight="1" x14ac:dyDescent="0.25">
      <c r="A177" s="163">
        <f t="shared" si="53"/>
        <v>254</v>
      </c>
      <c r="B177" s="242">
        <v>42487</v>
      </c>
      <c r="C177" s="332">
        <v>2095.15</v>
      </c>
      <c r="D177" s="171">
        <f t="shared" si="66"/>
        <v>1.6493761055602013E-3</v>
      </c>
      <c r="E177" s="244">
        <f t="shared" si="67"/>
        <v>-3.4673997831091321E-3</v>
      </c>
      <c r="F177" s="245">
        <v>4863.1400000000003</v>
      </c>
      <c r="G177" s="171">
        <f t="shared" si="68"/>
        <v>-5.1429132537414834E-3</v>
      </c>
      <c r="H177" s="246">
        <f t="shared" si="69"/>
        <v>-4.4888740499243768E-2</v>
      </c>
      <c r="I177" s="247">
        <v>341540.33</v>
      </c>
      <c r="J177" s="248">
        <v>400000</v>
      </c>
      <c r="K177" s="248">
        <f t="shared" si="58"/>
        <v>4743.070000000007</v>
      </c>
      <c r="L177" s="171">
        <f t="shared" si="50"/>
        <v>1.4082863975793648E-2</v>
      </c>
      <c r="M177" s="249">
        <f t="shared" si="63"/>
        <v>-58459.669999999984</v>
      </c>
      <c r="N177" s="250">
        <f t="shared" si="64"/>
        <v>-0.14614917499999996</v>
      </c>
      <c r="O177" s="183">
        <f t="shared" si="54"/>
        <v>-0.21016136286909445</v>
      </c>
      <c r="P177" s="249" t="b">
        <f t="shared" si="60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9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61"/>
        <v>-0.53277280512346881</v>
      </c>
      <c r="Y177" s="807">
        <f t="shared" si="62"/>
        <v>-0.14268177521689082</v>
      </c>
    </row>
    <row r="178" spans="1:25" ht="20.100000000000001" customHeight="1" x14ac:dyDescent="0.25">
      <c r="A178" s="163">
        <f t="shared" si="53"/>
        <v>255</v>
      </c>
      <c r="B178" s="242">
        <v>42488</v>
      </c>
      <c r="C178" s="332">
        <v>2075.81</v>
      </c>
      <c r="D178" s="171">
        <f t="shared" si="66"/>
        <v>-9.2308426604301094E-3</v>
      </c>
      <c r="E178" s="244">
        <f t="shared" si="67"/>
        <v>-1.2666235421700553E-2</v>
      </c>
      <c r="F178" s="245">
        <v>4805.29</v>
      </c>
      <c r="G178" s="171">
        <f t="shared" si="68"/>
        <v>-1.1895606542275229E-2</v>
      </c>
      <c r="H178" s="246">
        <f t="shared" si="69"/>
        <v>-5.6250368246361697E-2</v>
      </c>
      <c r="I178" s="247">
        <v>336936.02</v>
      </c>
      <c r="J178" s="248">
        <v>400000</v>
      </c>
      <c r="K178" s="248">
        <f t="shared" si="58"/>
        <v>-4604.3099999999977</v>
      </c>
      <c r="L178" s="171">
        <f t="shared" si="50"/>
        <v>-1.3481014086974729E-2</v>
      </c>
      <c r="M178" s="249">
        <f t="shared" si="63"/>
        <v>-63063.979999999981</v>
      </c>
      <c r="N178" s="250">
        <f t="shared" si="64"/>
        <v>-0.15765994999999997</v>
      </c>
      <c r="O178" s="183">
        <f t="shared" si="54"/>
        <v>-0.22582469308823525</v>
      </c>
      <c r="P178" s="249" t="b">
        <f t="shared" si="60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9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61"/>
        <v>-0.57364554480625507</v>
      </c>
      <c r="Y178" s="807">
        <f t="shared" si="62"/>
        <v>-0.1449937145782994</v>
      </c>
    </row>
    <row r="179" spans="1:25" ht="20.100000000000001" customHeight="1" x14ac:dyDescent="0.25">
      <c r="A179" s="163">
        <f t="shared" si="53"/>
        <v>256</v>
      </c>
      <c r="B179" s="242">
        <v>42489</v>
      </c>
      <c r="C179" s="332">
        <v>2065.3000000000002</v>
      </c>
      <c r="D179" s="171">
        <f t="shared" si="66"/>
        <v>-5.0630838082482326E-3</v>
      </c>
      <c r="E179" s="244">
        <f t="shared" si="67"/>
        <v>-1.7665189018473713E-2</v>
      </c>
      <c r="F179" s="245">
        <v>4775.3599999999997</v>
      </c>
      <c r="G179" s="171">
        <f t="shared" si="68"/>
        <v>-6.2285522830048323E-3</v>
      </c>
      <c r="H179" s="246">
        <f t="shared" si="69"/>
        <v>-6.2128562169805793E-2</v>
      </c>
      <c r="I179" s="471">
        <v>329545.53999999998</v>
      </c>
      <c r="J179" s="248">
        <v>400000</v>
      </c>
      <c r="K179" s="248">
        <f t="shared" si="58"/>
        <v>-7390.4800000000396</v>
      </c>
      <c r="L179" s="171">
        <f t="shared" si="50"/>
        <v>-2.1934371991454163E-2</v>
      </c>
      <c r="M179" s="249">
        <f t="shared" si="63"/>
        <v>-70454.460000000021</v>
      </c>
      <c r="N179" s="250">
        <f t="shared" si="64"/>
        <v>-0.17613615000000005</v>
      </c>
      <c r="O179" s="183">
        <f t="shared" si="54"/>
        <v>-0.25130362807617196</v>
      </c>
      <c r="P179" s="249" t="b">
        <f t="shared" si="60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9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61"/>
        <v>-0.6387891212526341</v>
      </c>
      <c r="Y179" s="807">
        <f t="shared" si="62"/>
        <v>-0.15847096098152633</v>
      </c>
    </row>
    <row r="180" spans="1:25" ht="20.100000000000001" customHeight="1" x14ac:dyDescent="0.25">
      <c r="A180" s="163">
        <f t="shared" si="53"/>
        <v>259</v>
      </c>
      <c r="B180" s="172">
        <v>42492</v>
      </c>
      <c r="C180" s="215">
        <v>2081.4299999999998</v>
      </c>
      <c r="D180" s="171">
        <f t="shared" si="66"/>
        <v>7.8100033893379424E-3</v>
      </c>
      <c r="E180" s="209">
        <f t="shared" si="67"/>
        <v>-9.9931508152433443E-3</v>
      </c>
      <c r="F180" s="219">
        <v>4817.59</v>
      </c>
      <c r="G180" s="171">
        <f t="shared" si="68"/>
        <v>8.8433123366616281E-3</v>
      </c>
      <c r="H180" s="203">
        <f t="shared" si="69"/>
        <v>-5.3834672113439459E-2</v>
      </c>
      <c r="I180" s="221">
        <v>323730.93</v>
      </c>
      <c r="J180" s="173">
        <v>400000</v>
      </c>
      <c r="K180" s="173">
        <f t="shared" si="58"/>
        <v>-5814.609999999986</v>
      </c>
      <c r="L180" s="171">
        <f t="shared" si="50"/>
        <v>-1.7644329217746314E-2</v>
      </c>
      <c r="M180" s="182">
        <f t="shared" si="63"/>
        <v>-76269.070000000007</v>
      </c>
      <c r="N180" s="184">
        <f t="shared" si="64"/>
        <v>-0.19067267500000001</v>
      </c>
      <c r="O180" s="183">
        <f t="shared" si="54"/>
        <v>-0.26889264302606181</v>
      </c>
      <c r="P180" s="182" t="b">
        <f t="shared" si="60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9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61"/>
        <v>-0.68448736798101806</v>
      </c>
      <c r="Y180" s="807">
        <f t="shared" si="62"/>
        <v>-0.18067952418475666</v>
      </c>
    </row>
    <row r="181" spans="1:25" ht="20.100000000000001" customHeight="1" x14ac:dyDescent="0.25">
      <c r="A181" s="163">
        <f t="shared" si="53"/>
        <v>260</v>
      </c>
      <c r="B181" s="172">
        <v>42493</v>
      </c>
      <c r="C181" s="215">
        <v>2063.37</v>
      </c>
      <c r="D181" s="171">
        <f t="shared" si="66"/>
        <v>-8.6767270578400179E-3</v>
      </c>
      <c r="E181" s="209">
        <f t="shared" si="67"/>
        <v>-1.8583170031011665E-2</v>
      </c>
      <c r="F181" s="219">
        <v>4763.22</v>
      </c>
      <c r="G181" s="171">
        <f t="shared" si="68"/>
        <v>-1.1285725850477083E-2</v>
      </c>
      <c r="H181" s="203">
        <f t="shared" si="69"/>
        <v>-6.4512834613193945E-2</v>
      </c>
      <c r="I181" s="221">
        <v>314233.52</v>
      </c>
      <c r="J181" s="173">
        <v>400000</v>
      </c>
      <c r="K181" s="173">
        <f t="shared" si="58"/>
        <v>-9497.4099999999744</v>
      </c>
      <c r="L181" s="171">
        <f t="shared" si="50"/>
        <v>-2.9337357415925549E-2</v>
      </c>
      <c r="M181" s="182">
        <f t="shared" si="63"/>
        <v>-85766.479999999981</v>
      </c>
      <c r="N181" s="184">
        <f t="shared" si="64"/>
        <v>-0.21441619999999995</v>
      </c>
      <c r="O181" s="183">
        <f t="shared" si="54"/>
        <v>-0.30121352711538457</v>
      </c>
      <c r="P181" s="182" t="b">
        <f t="shared" si="60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9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61"/>
        <v>-0.7659814915415738</v>
      </c>
      <c r="Y181" s="807">
        <f t="shared" si="62"/>
        <v>-0.19583302996898827</v>
      </c>
    </row>
    <row r="182" spans="1:25" ht="20.100000000000001" customHeight="1" x14ac:dyDescent="0.25">
      <c r="A182" s="163">
        <f t="shared" si="53"/>
        <v>261</v>
      </c>
      <c r="B182" s="172">
        <v>42494</v>
      </c>
      <c r="C182" s="215">
        <v>2051.12</v>
      </c>
      <c r="D182" s="171">
        <f t="shared" si="66"/>
        <v>-5.9368896513955329E-3</v>
      </c>
      <c r="E182" s="209">
        <f t="shared" si="67"/>
        <v>-2.4409733452559961E-2</v>
      </c>
      <c r="F182" s="219">
        <v>4725.6400000000003</v>
      </c>
      <c r="G182" s="171">
        <f t="shared" si="68"/>
        <v>-7.8896208867110743E-3</v>
      </c>
      <c r="H182" s="203">
        <f t="shared" si="69"/>
        <v>-7.1893473692479823E-2</v>
      </c>
      <c r="I182" s="221">
        <v>304379.90999999997</v>
      </c>
      <c r="J182" s="173">
        <v>400000</v>
      </c>
      <c r="K182" s="173">
        <f t="shared" si="58"/>
        <v>-9853.6100000000442</v>
      </c>
      <c r="L182" s="171">
        <f t="shared" si="50"/>
        <v>-3.135760309721268E-2</v>
      </c>
      <c r="M182" s="182">
        <f t="shared" si="63"/>
        <v>-95620.090000000026</v>
      </c>
      <c r="N182" s="184">
        <f t="shared" si="64"/>
        <v>-0.23905022500000006</v>
      </c>
      <c r="O182" s="183">
        <f t="shared" si="54"/>
        <v>-0.33453292981321847</v>
      </c>
      <c r="P182" s="182" t="b">
        <f t="shared" si="60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9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61"/>
        <v>-0.84943037818037204</v>
      </c>
      <c r="Y182" s="807">
        <f t="shared" si="62"/>
        <v>-0.21464049154744011</v>
      </c>
    </row>
    <row r="183" spans="1:25" ht="20.100000000000001" customHeight="1" x14ac:dyDescent="0.25">
      <c r="A183" s="163">
        <f t="shared" si="53"/>
        <v>262</v>
      </c>
      <c r="B183" s="172">
        <v>42495</v>
      </c>
      <c r="C183" s="215">
        <v>2050.63</v>
      </c>
      <c r="D183" s="171">
        <f t="shared" si="66"/>
        <v>-2.3889387261583024E-4</v>
      </c>
      <c r="E183" s="209">
        <f t="shared" si="67"/>
        <v>-2.464279598942179E-2</v>
      </c>
      <c r="F183" s="219">
        <v>4717.09</v>
      </c>
      <c r="G183" s="171">
        <f t="shared" si="68"/>
        <v>-1.8092787431967271E-3</v>
      </c>
      <c r="H183" s="203">
        <f t="shared" si="69"/>
        <v>-7.3572677101950174E-2</v>
      </c>
      <c r="I183" s="221">
        <v>304854.58</v>
      </c>
      <c r="J183" s="173">
        <v>400000</v>
      </c>
      <c r="K183" s="173">
        <f t="shared" si="58"/>
        <v>474.67000000004191</v>
      </c>
      <c r="L183" s="171">
        <f t="shared" si="50"/>
        <v>1.5594656033640392E-3</v>
      </c>
      <c r="M183" s="182">
        <f t="shared" si="63"/>
        <v>-95145.419999999984</v>
      </c>
      <c r="N183" s="184">
        <f t="shared" si="64"/>
        <v>-0.23786354999999995</v>
      </c>
      <c r="O183" s="183">
        <f t="shared" si="54"/>
        <v>-0.33160176197519076</v>
      </c>
      <c r="P183" s="182" t="b">
        <f t="shared" si="60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9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61"/>
        <v>-0.84431695951043073</v>
      </c>
      <c r="Y183" s="807">
        <f t="shared" si="62"/>
        <v>-0.21322075401057816</v>
      </c>
    </row>
    <row r="184" spans="1:25" ht="20.100000000000001" customHeight="1" x14ac:dyDescent="0.25">
      <c r="A184" s="163">
        <f t="shared" si="53"/>
        <v>263</v>
      </c>
      <c r="B184" s="172">
        <v>42496</v>
      </c>
      <c r="C184" s="215">
        <v>2057.14</v>
      </c>
      <c r="D184" s="171">
        <f t="shared" si="66"/>
        <v>3.1746341368261281E-3</v>
      </c>
      <c r="E184" s="209">
        <f t="shared" si="67"/>
        <v>-2.1546393713970519E-2</v>
      </c>
      <c r="F184" s="219">
        <v>4736.1499999999996</v>
      </c>
      <c r="G184" s="171">
        <f t="shared" si="68"/>
        <v>4.0406267423346784E-3</v>
      </c>
      <c r="H184" s="203">
        <f t="shared" si="69"/>
        <v>-6.9829330086218791E-2</v>
      </c>
      <c r="I184" s="221">
        <v>304553.01</v>
      </c>
      <c r="J184" s="173">
        <v>400000</v>
      </c>
      <c r="K184" s="173">
        <f t="shared" ref="K184:K191" si="70">I184-I183-J184+J183</f>
        <v>-301.57000000000698</v>
      </c>
      <c r="L184" s="171">
        <f t="shared" si="50"/>
        <v>-9.8922574822397935E-4</v>
      </c>
      <c r="M184" s="182">
        <f t="shared" si="63"/>
        <v>-95446.989999999991</v>
      </c>
      <c r="N184" s="184">
        <f t="shared" si="64"/>
        <v>-0.23861747499999997</v>
      </c>
      <c r="O184" s="183">
        <f t="shared" si="54"/>
        <v>-0.33138795720057029</v>
      </c>
      <c r="P184" s="182" t="b">
        <f t="shared" si="60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9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61"/>
        <v>-0.8461127834742066</v>
      </c>
      <c r="Y184" s="807">
        <f t="shared" si="62"/>
        <v>-0.21707108128602945</v>
      </c>
    </row>
    <row r="185" spans="1:25" ht="20.100000000000001" customHeight="1" x14ac:dyDescent="0.25">
      <c r="A185" s="163">
        <f t="shared" si="53"/>
        <v>266</v>
      </c>
      <c r="B185" s="242">
        <v>42499</v>
      </c>
      <c r="C185" s="243">
        <v>2058.69</v>
      </c>
      <c r="D185" s="171">
        <f t="shared" si="66"/>
        <v>7.5347326871296166E-4</v>
      </c>
      <c r="E185" s="244">
        <f t="shared" si="67"/>
        <v>-2.08091550769582E-2</v>
      </c>
      <c r="F185" s="245">
        <v>4750.2</v>
      </c>
      <c r="G185" s="171">
        <f t="shared" si="68"/>
        <v>2.9665445562324214E-3</v>
      </c>
      <c r="H185" s="246">
        <f t="shared" si="69"/>
        <v>-6.706993734901899E-2</v>
      </c>
      <c r="I185" s="247">
        <v>298140.64</v>
      </c>
      <c r="J185" s="248">
        <v>400000</v>
      </c>
      <c r="K185" s="248">
        <f t="shared" si="70"/>
        <v>-6412.3699999999953</v>
      </c>
      <c r="L185" s="171">
        <f t="shared" si="50"/>
        <v>-2.1055020930510572E-2</v>
      </c>
      <c r="M185" s="249">
        <f t="shared" si="63"/>
        <v>-101859.35999999999</v>
      </c>
      <c r="N185" s="250">
        <f t="shared" si="64"/>
        <v>-0.25464839999999994</v>
      </c>
      <c r="O185" s="183">
        <f t="shared" si="54"/>
        <v>-0.34966288759398489</v>
      </c>
      <c r="P185" s="249" t="b">
        <f t="shared" si="60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9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61"/>
        <v>-0.89356401640769378</v>
      </c>
      <c r="Y185" s="807">
        <f t="shared" si="62"/>
        <v>-0.23383924492304176</v>
      </c>
    </row>
    <row r="186" spans="1:25" ht="20.100000000000001" customHeight="1" x14ac:dyDescent="0.25">
      <c r="A186" s="163">
        <f t="shared" si="53"/>
        <v>267</v>
      </c>
      <c r="B186" s="242">
        <v>42500</v>
      </c>
      <c r="C186" s="243">
        <v>2084.39</v>
      </c>
      <c r="D186" s="171">
        <f t="shared" si="66"/>
        <v>1.2483666797817941E-2</v>
      </c>
      <c r="E186" s="244">
        <f t="shared" si="67"/>
        <v>-8.5852628374651265E-3</v>
      </c>
      <c r="F186" s="245">
        <v>4809.88</v>
      </c>
      <c r="G186" s="171">
        <f t="shared" si="68"/>
        <v>1.2563681529198832E-2</v>
      </c>
      <c r="H186" s="246">
        <f t="shared" si="69"/>
        <v>-5.5348901152856553E-2</v>
      </c>
      <c r="I186" s="247">
        <v>304800.26</v>
      </c>
      <c r="J186" s="248">
        <v>400000</v>
      </c>
      <c r="K186" s="248">
        <f t="shared" si="70"/>
        <v>6659.6199999999953</v>
      </c>
      <c r="L186" s="171">
        <f t="shared" si="50"/>
        <v>2.2337176172963186E-2</v>
      </c>
      <c r="M186" s="249">
        <f t="shared" si="63"/>
        <v>-95199.739999999991</v>
      </c>
      <c r="N186" s="250">
        <f t="shared" si="64"/>
        <v>-0.23799934999999997</v>
      </c>
      <c r="O186" s="183">
        <f t="shared" si="54"/>
        <v>-0.32557776249999998</v>
      </c>
      <c r="P186" s="249" t="b">
        <f t="shared" si="60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9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61"/>
        <v>-0.83229665108841255</v>
      </c>
      <c r="Y186" s="807">
        <f t="shared" si="62"/>
        <v>-0.22941408716253484</v>
      </c>
    </row>
    <row r="187" spans="1:25" ht="20.100000000000001" customHeight="1" x14ac:dyDescent="0.25">
      <c r="A187" s="163">
        <f t="shared" si="53"/>
        <v>268</v>
      </c>
      <c r="B187" s="242">
        <v>42501</v>
      </c>
      <c r="C187" s="243">
        <v>2064.46</v>
      </c>
      <c r="D187" s="171">
        <f t="shared" si="66"/>
        <v>-9.5615503816463502E-3</v>
      </c>
      <c r="E187" s="244">
        <f t="shared" si="67"/>
        <v>-1.8064724795951378E-2</v>
      </c>
      <c r="F187" s="245">
        <v>4760.68</v>
      </c>
      <c r="G187" s="171">
        <f t="shared" si="68"/>
        <v>-1.0228945420675737E-2</v>
      </c>
      <c r="H187" s="246">
        <f t="shared" si="69"/>
        <v>-6.5011685684545351E-2</v>
      </c>
      <c r="I187" s="247">
        <v>308835.23</v>
      </c>
      <c r="J187" s="248">
        <v>400000</v>
      </c>
      <c r="K187" s="248">
        <f t="shared" si="70"/>
        <v>4034.9699999999721</v>
      </c>
      <c r="L187" s="171">
        <f t="shared" si="50"/>
        <v>1.3238079258856183E-2</v>
      </c>
      <c r="M187" s="249">
        <f t="shared" si="63"/>
        <v>-91164.770000000019</v>
      </c>
      <c r="N187" s="250">
        <f t="shared" si="64"/>
        <v>-0.22791192500000004</v>
      </c>
      <c r="O187" s="183">
        <f t="shared" si="54"/>
        <v>-0.31061503957555975</v>
      </c>
      <c r="P187" s="249" t="b">
        <f t="shared" si="60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9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61"/>
        <v>-0.7955245867281886</v>
      </c>
      <c r="Y187" s="807">
        <f t="shared" si="62"/>
        <v>-0.20984720020404868</v>
      </c>
    </row>
    <row r="188" spans="1:25" ht="20.100000000000001" customHeight="1" x14ac:dyDescent="0.25">
      <c r="A188" s="163">
        <f t="shared" si="53"/>
        <v>269</v>
      </c>
      <c r="B188" s="242">
        <v>42502</v>
      </c>
      <c r="C188" s="243">
        <v>2064.11</v>
      </c>
      <c r="D188" s="171">
        <f t="shared" si="66"/>
        <v>-1.6953585925612947E-4</v>
      </c>
      <c r="E188" s="244">
        <f t="shared" si="67"/>
        <v>-1.8231198036567E-2</v>
      </c>
      <c r="F188" s="245">
        <v>4737.33</v>
      </c>
      <c r="G188" s="171">
        <f t="shared" si="68"/>
        <v>-4.9047615046590746E-3</v>
      </c>
      <c r="H188" s="246">
        <f t="shared" si="69"/>
        <v>-6.9597580375905868E-2</v>
      </c>
      <c r="I188" s="247">
        <v>304301.34000000003</v>
      </c>
      <c r="J188" s="248">
        <v>400000</v>
      </c>
      <c r="K188" s="248">
        <f t="shared" si="70"/>
        <v>-4533.8899999999558</v>
      </c>
      <c r="L188" s="171">
        <f t="shared" si="50"/>
        <v>-1.4680611405635154E-2</v>
      </c>
      <c r="M188" s="249">
        <f t="shared" si="63"/>
        <v>-95698.659999999974</v>
      </c>
      <c r="N188" s="250">
        <f t="shared" si="64"/>
        <v>-0.23924664999999995</v>
      </c>
      <c r="O188" s="183">
        <f t="shared" si="54"/>
        <v>-0.32485070227695162</v>
      </c>
      <c r="P188" s="249" t="b">
        <f t="shared" si="60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9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61"/>
        <v>-0.83350324162671152</v>
      </c>
      <c r="Y188" s="807">
        <f t="shared" si="62"/>
        <v>-0.22101545196343295</v>
      </c>
    </row>
    <row r="189" spans="1:25" ht="20.100000000000001" customHeight="1" x14ac:dyDescent="0.25">
      <c r="A189" s="163">
        <f t="shared" si="53"/>
        <v>270</v>
      </c>
      <c r="B189" s="242">
        <v>42503</v>
      </c>
      <c r="C189" s="243">
        <v>2046.61</v>
      </c>
      <c r="D189" s="171">
        <f t="shared" si="66"/>
        <v>-8.4782303268722235E-3</v>
      </c>
      <c r="E189" s="244">
        <f t="shared" si="67"/>
        <v>-2.6554860067350389E-2</v>
      </c>
      <c r="F189" s="245">
        <v>4717.68</v>
      </c>
      <c r="G189" s="171">
        <f t="shared" si="68"/>
        <v>-4.1479060990050592E-3</v>
      </c>
      <c r="H189" s="246">
        <f t="shared" si="69"/>
        <v>-7.3456802246793712E-2</v>
      </c>
      <c r="I189" s="247">
        <v>303736.26</v>
      </c>
      <c r="J189" s="248">
        <v>400000</v>
      </c>
      <c r="K189" s="248">
        <f t="shared" si="70"/>
        <v>-565.0800000000163</v>
      </c>
      <c r="L189" s="171">
        <f t="shared" si="50"/>
        <v>-1.8569750629425959E-3</v>
      </c>
      <c r="M189" s="249">
        <f t="shared" si="63"/>
        <v>-96263.739999999991</v>
      </c>
      <c r="N189" s="250">
        <f t="shared" si="64"/>
        <v>-0.24065934999999997</v>
      </c>
      <c r="O189" s="183">
        <f t="shared" si="54"/>
        <v>-0.32555862069444441</v>
      </c>
      <c r="P189" s="249" t="b">
        <f t="shared" si="60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9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61"/>
        <v>-0.83756894599669407</v>
      </c>
      <c r="Y189" s="807">
        <f t="shared" si="62"/>
        <v>-0.21410448993264958</v>
      </c>
    </row>
    <row r="190" spans="1:25" ht="20.100000000000001" customHeight="1" x14ac:dyDescent="0.25">
      <c r="A190" s="163">
        <f t="shared" si="53"/>
        <v>273</v>
      </c>
      <c r="B190" s="172">
        <v>42506</v>
      </c>
      <c r="C190" s="215">
        <v>2066.66</v>
      </c>
      <c r="D190" s="171">
        <f t="shared" si="66"/>
        <v>9.7966881819203239E-3</v>
      </c>
      <c r="E190" s="209">
        <f t="shared" si="67"/>
        <v>-1.7018321569224424E-2</v>
      </c>
      <c r="F190" s="219">
        <v>4775.45</v>
      </c>
      <c r="G190" s="171">
        <f t="shared" si="68"/>
        <v>1.224542571772556E-2</v>
      </c>
      <c r="H190" s="203">
        <f t="shared" si="69"/>
        <v>-6.2110886344442916E-2</v>
      </c>
      <c r="I190" s="221">
        <v>310136.52</v>
      </c>
      <c r="J190" s="173">
        <v>400000</v>
      </c>
      <c r="K190" s="173">
        <f t="shared" si="70"/>
        <v>6400.2600000000093</v>
      </c>
      <c r="L190" s="171">
        <f t="shared" si="50"/>
        <v>2.1071767987134657E-2</v>
      </c>
      <c r="M190" s="182">
        <f t="shared" si="63"/>
        <v>-89863.479999999981</v>
      </c>
      <c r="N190" s="184">
        <f t="shared" ref="N190:N221" si="71">M190/J190</f>
        <v>-0.22465869999999996</v>
      </c>
      <c r="O190" s="183">
        <f t="shared" si="54"/>
        <v>-0.30057359038461534</v>
      </c>
      <c r="P190" s="182" t="b">
        <f t="shared" si="60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9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61"/>
        <v>-0.77373499232264575</v>
      </c>
      <c r="Y190" s="807">
        <f t="shared" si="62"/>
        <v>-0.20764037843077554</v>
      </c>
    </row>
    <row r="191" spans="1:25" ht="20.100000000000001" customHeight="1" x14ac:dyDescent="0.25">
      <c r="A191" s="163">
        <f t="shared" si="53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7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9"/>
        <v>-7.3839778462988837E-2</v>
      </c>
      <c r="I191" s="221">
        <v>311039.01</v>
      </c>
      <c r="J191" s="173">
        <v>400000</v>
      </c>
      <c r="K191" s="173">
        <f t="shared" si="70"/>
        <v>902.48999999999069</v>
      </c>
      <c r="L191" s="171">
        <f t="shared" si="50"/>
        <v>2.9099765483922711E-3</v>
      </c>
      <c r="M191" s="182">
        <f t="shared" si="63"/>
        <v>-88960.989999999991</v>
      </c>
      <c r="N191" s="184">
        <f t="shared" si="71"/>
        <v>-0.22240247499999999</v>
      </c>
      <c r="O191" s="183">
        <f t="shared" si="54"/>
        <v>-0.29646899267791965</v>
      </c>
      <c r="P191" s="182" t="b">
        <f t="shared" si="60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9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61"/>
        <v>-0.76516583866958454</v>
      </c>
      <c r="Y191" s="807">
        <f t="shared" si="62"/>
        <v>-0.19613299763084796</v>
      </c>
    </row>
    <row r="192" spans="1:25" ht="20.100000000000001" customHeight="1" x14ac:dyDescent="0.25">
      <c r="A192" s="163">
        <f t="shared" si="53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72">(C192-$C$2)/$C$2</f>
        <v>-2.6069709480413209E-2</v>
      </c>
      <c r="F192" s="219">
        <v>4739.1099999999997</v>
      </c>
      <c r="G192" s="171">
        <f t="shared" ref="G192:G255" si="73">(F192-F191)/F191</f>
        <v>4.9578750267721249E-3</v>
      </c>
      <c r="H192" s="203">
        <f t="shared" ref="H192:H223" si="74">(F192-F$2)/F$2</f>
        <v>-6.9247991829840747E-2</v>
      </c>
      <c r="I192" s="221">
        <v>310817.56</v>
      </c>
      <c r="J192" s="173">
        <v>400000</v>
      </c>
      <c r="K192" s="173">
        <f t="shared" ref="K192:K223" si="75">I192-I191-J192+J191</f>
        <v>-221.45000000001164</v>
      </c>
      <c r="L192" s="171">
        <f t="shared" si="50"/>
        <v>-7.1196857268807415E-4</v>
      </c>
      <c r="M192" s="182">
        <f t="shared" ref="M192:M223" si="76">I192-J192</f>
        <v>-89182.44</v>
      </c>
      <c r="N192" s="184">
        <f t="shared" si="71"/>
        <v>-0.22295610000000002</v>
      </c>
      <c r="O192" s="183">
        <f t="shared" si="54"/>
        <v>-0.29612623827272727</v>
      </c>
      <c r="P192" s="182" t="b">
        <f t="shared" ref="P192:P223" si="77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8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61"/>
        <v>-0.76631108358378452</v>
      </c>
      <c r="Y192" s="807">
        <f t="shared" si="62"/>
        <v>-0.19688639051958681</v>
      </c>
    </row>
    <row r="193" spans="1:25" ht="20.100000000000001" customHeight="1" x14ac:dyDescent="0.25">
      <c r="A193" s="163">
        <f t="shared" si="53"/>
        <v>276</v>
      </c>
      <c r="B193" s="172">
        <v>42509</v>
      </c>
      <c r="C193" s="215">
        <v>2040.04</v>
      </c>
      <c r="D193" s="171">
        <f t="shared" ref="D193:D256" si="79">(C193-C192)/C192</f>
        <v>-3.7067243593814046E-3</v>
      </c>
      <c r="E193" s="209">
        <f t="shared" si="72"/>
        <v>-2.9679800612621567E-2</v>
      </c>
      <c r="F193" s="219">
        <v>4712.53</v>
      </c>
      <c r="G193" s="171">
        <f t="shared" si="73"/>
        <v>-5.6086480372896869E-3</v>
      </c>
      <c r="H193" s="203">
        <f t="shared" si="74"/>
        <v>-7.4468252253667752E-2</v>
      </c>
      <c r="I193" s="221">
        <v>311569.3</v>
      </c>
      <c r="J193" s="173">
        <v>400000</v>
      </c>
      <c r="K193" s="173">
        <f t="shared" si="75"/>
        <v>751.73999999999069</v>
      </c>
      <c r="L193" s="171">
        <f t="shared" si="50"/>
        <v>2.4185892199912731E-3</v>
      </c>
      <c r="M193" s="182">
        <f t="shared" si="76"/>
        <v>-88430.700000000012</v>
      </c>
      <c r="N193" s="184">
        <f t="shared" si="71"/>
        <v>-0.22107675000000002</v>
      </c>
      <c r="O193" s="183">
        <f t="shared" si="54"/>
        <v>-0.29256624252717395</v>
      </c>
      <c r="P193" s="182" t="b">
        <f t="shared" si="77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8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61"/>
        <v>-0.75906925191313057</v>
      </c>
      <c r="Y193" s="807">
        <f t="shared" si="62"/>
        <v>-0.19139694938737845</v>
      </c>
    </row>
    <row r="194" spans="1:25" ht="20.100000000000001" customHeight="1" x14ac:dyDescent="0.25">
      <c r="A194" s="163">
        <f t="shared" si="53"/>
        <v>277</v>
      </c>
      <c r="B194" s="172">
        <v>42510</v>
      </c>
      <c r="C194" s="215">
        <v>2052.3200000000002</v>
      </c>
      <c r="D194" s="171">
        <f t="shared" si="79"/>
        <v>6.0194898139253154E-3</v>
      </c>
      <c r="E194" s="209">
        <f t="shared" si="72"/>
        <v>-2.3838968056163264E-2</v>
      </c>
      <c r="F194" s="219">
        <v>4769.55</v>
      </c>
      <c r="G194" s="171">
        <f t="shared" si="73"/>
        <v>1.209965772101195E-2</v>
      </c>
      <c r="H194" s="203">
        <f t="shared" si="74"/>
        <v>-6.3269634896007163E-2</v>
      </c>
      <c r="I194" s="221">
        <v>320418.83</v>
      </c>
      <c r="J194" s="173">
        <v>400000</v>
      </c>
      <c r="K194" s="173">
        <f t="shared" si="75"/>
        <v>8849.5300000000279</v>
      </c>
      <c r="L194" s="171">
        <f t="shared" si="50"/>
        <v>2.8403087210453752E-2</v>
      </c>
      <c r="M194" s="182">
        <f t="shared" si="76"/>
        <v>-79581.169999999984</v>
      </c>
      <c r="N194" s="184">
        <f t="shared" si="71"/>
        <v>-0.19895292499999995</v>
      </c>
      <c r="O194" s="183">
        <f t="shared" si="54"/>
        <v>-0.26233774677346566</v>
      </c>
      <c r="P194" s="182" t="b">
        <f t="shared" si="77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8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61"/>
        <v>-0.67990693451316542</v>
      </c>
      <c r="Y194" s="807">
        <f t="shared" si="62"/>
        <v>-0.17511395694383669</v>
      </c>
    </row>
    <row r="195" spans="1:25" ht="20.100000000000001" customHeight="1" x14ac:dyDescent="0.25">
      <c r="A195" s="163">
        <f t="shared" si="53"/>
        <v>280</v>
      </c>
      <c r="B195" s="242">
        <v>42513</v>
      </c>
      <c r="C195" s="243">
        <v>2048.04</v>
      </c>
      <c r="D195" s="171">
        <f t="shared" si="79"/>
        <v>-2.085444764949033E-3</v>
      </c>
      <c r="E195" s="244">
        <f t="shared" si="72"/>
        <v>-2.5874697969977784E-2</v>
      </c>
      <c r="F195" s="245">
        <v>4765.78</v>
      </c>
      <c r="G195" s="171">
        <f t="shared" si="73"/>
        <v>-7.9043096308885254E-4</v>
      </c>
      <c r="H195" s="246">
        <f t="shared" si="74"/>
        <v>-6.4010055580650885E-2</v>
      </c>
      <c r="I195" s="247">
        <v>322945.12</v>
      </c>
      <c r="J195" s="248">
        <v>400000</v>
      </c>
      <c r="K195" s="248">
        <f t="shared" si="75"/>
        <v>2526.289999999979</v>
      </c>
      <c r="L195" s="171">
        <f t="shared" si="50"/>
        <v>7.8843368849451784E-3</v>
      </c>
      <c r="M195" s="249">
        <f t="shared" si="76"/>
        <v>-77054.880000000005</v>
      </c>
      <c r="N195" s="250">
        <f t="shared" si="71"/>
        <v>-0.19263720000000001</v>
      </c>
      <c r="O195" s="183">
        <f t="shared" si="54"/>
        <v>-0.25128834750000001</v>
      </c>
      <c r="P195" s="249" t="b">
        <f t="shared" si="77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8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61"/>
        <v>-0.65277620389468705</v>
      </c>
      <c r="Y195" s="807">
        <f t="shared" si="62"/>
        <v>-0.16676250203002221</v>
      </c>
    </row>
    <row r="196" spans="1:25" ht="20.100000000000001" customHeight="1" x14ac:dyDescent="0.25">
      <c r="A196" s="163">
        <f t="shared" si="53"/>
        <v>281</v>
      </c>
      <c r="B196" s="242">
        <v>42514</v>
      </c>
      <c r="C196" s="243">
        <v>2076.06</v>
      </c>
      <c r="D196" s="171">
        <f t="shared" si="79"/>
        <v>1.3681373410675565E-2</v>
      </c>
      <c r="E196" s="244">
        <f t="shared" si="72"/>
        <v>-1.2547325964117933E-2</v>
      </c>
      <c r="F196" s="245">
        <v>4861.05</v>
      </c>
      <c r="G196" s="171">
        <f t="shared" si="73"/>
        <v>1.9990431786612146E-2</v>
      </c>
      <c r="H196" s="246">
        <f t="shared" si="74"/>
        <v>-4.5299212443780983E-2</v>
      </c>
      <c r="I196" s="247">
        <v>324441.06</v>
      </c>
      <c r="J196" s="248">
        <v>400000</v>
      </c>
      <c r="K196" s="248">
        <f t="shared" si="75"/>
        <v>1495.9400000000023</v>
      </c>
      <c r="L196" s="171">
        <f t="shared" ref="L196:L219" si="80">K196/I195</f>
        <v>4.6321802292600125E-3</v>
      </c>
      <c r="M196" s="249">
        <f t="shared" si="76"/>
        <v>-75558.94</v>
      </c>
      <c r="N196" s="250">
        <f t="shared" si="71"/>
        <v>-0.18889735000000002</v>
      </c>
      <c r="O196" s="183">
        <f t="shared" si="54"/>
        <v>-0.24553294337188614</v>
      </c>
      <c r="P196" s="249" t="b">
        <f t="shared" si="77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8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61"/>
        <v>-0.63941462813460226</v>
      </c>
      <c r="Y196" s="807">
        <f t="shared" si="62"/>
        <v>-0.1763500240358821</v>
      </c>
    </row>
    <row r="197" spans="1:25" ht="20.100000000000001" customHeight="1" x14ac:dyDescent="0.25">
      <c r="A197" s="163">
        <f t="shared" si="53"/>
        <v>282</v>
      </c>
      <c r="B197" s="242">
        <v>42515</v>
      </c>
      <c r="C197" s="243">
        <v>2090.54</v>
      </c>
      <c r="D197" s="171">
        <f t="shared" si="79"/>
        <v>6.9747502480660573E-3</v>
      </c>
      <c r="E197" s="244">
        <f t="shared" si="72"/>
        <v>-5.6600901809326738E-3</v>
      </c>
      <c r="F197" s="245">
        <v>4894.8900000000003</v>
      </c>
      <c r="G197" s="171">
        <f t="shared" si="73"/>
        <v>6.9614589440553263E-3</v>
      </c>
      <c r="H197" s="246">
        <f t="shared" si="74"/>
        <v>-3.8653102107351081E-2</v>
      </c>
      <c r="I197" s="247">
        <v>329556.86</v>
      </c>
      <c r="J197" s="248">
        <v>400000</v>
      </c>
      <c r="K197" s="248">
        <f t="shared" si="75"/>
        <v>5115.7999999999884</v>
      </c>
      <c r="L197" s="171">
        <f t="shared" si="80"/>
        <v>1.5768041196758474E-2</v>
      </c>
      <c r="M197" s="249">
        <f t="shared" si="76"/>
        <v>-70443.140000000014</v>
      </c>
      <c r="N197" s="250">
        <f t="shared" si="71"/>
        <v>-0.17610785000000004</v>
      </c>
      <c r="O197" s="183">
        <f t="shared" si="54"/>
        <v>-0.22809713550531921</v>
      </c>
      <c r="P197" s="249" t="b">
        <f t="shared" si="77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8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61"/>
        <v>-0.59486841992373629</v>
      </c>
      <c r="Y197" s="807">
        <f t="shared" si="62"/>
        <v>-0.17044775981906737</v>
      </c>
    </row>
    <row r="198" spans="1:25" ht="20.100000000000001" customHeight="1" x14ac:dyDescent="0.25">
      <c r="A198" s="163">
        <f t="shared" si="53"/>
        <v>283</v>
      </c>
      <c r="B198" s="242">
        <v>42516</v>
      </c>
      <c r="C198" s="243">
        <v>2090.1</v>
      </c>
      <c r="D198" s="171">
        <f t="shared" si="79"/>
        <v>-2.1047193548081098E-4</v>
      </c>
      <c r="E198" s="244">
        <f t="shared" si="72"/>
        <v>-5.8693708262781081E-3</v>
      </c>
      <c r="F198" s="245">
        <v>4901.76</v>
      </c>
      <c r="G198" s="171">
        <f t="shared" si="73"/>
        <v>1.4035044709891111E-3</v>
      </c>
      <c r="H198" s="246">
        <f t="shared" si="74"/>
        <v>-3.7303847437987238E-2</v>
      </c>
      <c r="I198" s="247">
        <v>327477.31</v>
      </c>
      <c r="J198" s="248">
        <v>400000</v>
      </c>
      <c r="K198" s="248">
        <f t="shared" si="75"/>
        <v>-2079.5499999999884</v>
      </c>
      <c r="L198" s="171">
        <f t="shared" si="80"/>
        <v>-6.3101402289122083E-3</v>
      </c>
      <c r="M198" s="249">
        <f t="shared" si="76"/>
        <v>-72522.69</v>
      </c>
      <c r="N198" s="250">
        <f t="shared" si="71"/>
        <v>-0.181306725</v>
      </c>
      <c r="O198" s="183">
        <f t="shared" si="54"/>
        <v>-0.23400099401501767</v>
      </c>
      <c r="P198" s="249" t="b">
        <f t="shared" si="77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8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61"/>
        <v>-0.6117368052531752</v>
      </c>
      <c r="Y198" s="807">
        <f t="shared" si="62"/>
        <v>-0.17543735417372189</v>
      </c>
    </row>
    <row r="199" spans="1:25" ht="20.100000000000001" customHeight="1" x14ac:dyDescent="0.25">
      <c r="A199" s="163">
        <f t="shared" ref="A199:A250" si="81">B199-$B$2</f>
        <v>284</v>
      </c>
      <c r="B199" s="242">
        <v>42517</v>
      </c>
      <c r="C199" s="243">
        <v>2099.06</v>
      </c>
      <c r="D199" s="171">
        <f t="shared" si="79"/>
        <v>4.2868762260179112E-3</v>
      </c>
      <c r="E199" s="244">
        <f t="shared" si="72"/>
        <v>-1.6076558665170512E-3</v>
      </c>
      <c r="F199" s="245">
        <v>4933.5</v>
      </c>
      <c r="G199" s="171">
        <f t="shared" si="73"/>
        <v>6.4752252252251808E-3</v>
      </c>
      <c r="H199" s="246">
        <f t="shared" si="74"/>
        <v>-3.1070173026690462E-2</v>
      </c>
      <c r="I199" s="247">
        <v>327126.28999999998</v>
      </c>
      <c r="J199" s="248">
        <v>400000</v>
      </c>
      <c r="K199" s="248">
        <f t="shared" si="75"/>
        <v>-351.02000000001863</v>
      </c>
      <c r="L199" s="171">
        <f t="shared" si="80"/>
        <v>-1.0718910571239841E-3</v>
      </c>
      <c r="M199" s="249">
        <f t="shared" si="76"/>
        <v>-72873.710000000021</v>
      </c>
      <c r="N199" s="250">
        <f t="shared" si="71"/>
        <v>-0.18218427500000006</v>
      </c>
      <c r="O199" s="183">
        <f t="shared" ref="O199:O262" si="82">N199/(A199/365.25)</f>
        <v>-0.23430565649207752</v>
      </c>
      <c r="P199" s="249" t="b">
        <f t="shared" si="77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8"/>
        <v>75022.939999999973</v>
      </c>
      <c r="T199" s="248">
        <v>-82653.611999999514</v>
      </c>
      <c r="U199" s="248">
        <f t="shared" ref="U199:U204" si="83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61"/>
        <v>-0.61410007201864025</v>
      </c>
      <c r="Y199" s="807">
        <f t="shared" si="62"/>
        <v>-0.18057661913348302</v>
      </c>
    </row>
    <row r="200" spans="1:25" ht="20.100000000000001" customHeight="1" x14ac:dyDescent="0.25">
      <c r="A200" s="163">
        <f t="shared" si="81"/>
        <v>288</v>
      </c>
      <c r="B200" s="172">
        <v>42521</v>
      </c>
      <c r="C200" s="215">
        <v>2096.9499999999998</v>
      </c>
      <c r="D200" s="171">
        <f t="shared" si="79"/>
        <v>-1.0052118567359328E-3</v>
      </c>
      <c r="E200" s="209">
        <f t="shared" si="72"/>
        <v>-2.6112516885144102E-3</v>
      </c>
      <c r="F200" s="219">
        <v>4948.05</v>
      </c>
      <c r="G200" s="171">
        <f t="shared" si="73"/>
        <v>2.9492246883551601E-3</v>
      </c>
      <c r="H200" s="203">
        <f t="shared" si="74"/>
        <v>-2.8212581259697084E-2</v>
      </c>
      <c r="I200" s="472">
        <v>330773</v>
      </c>
      <c r="J200" s="173">
        <v>400000</v>
      </c>
      <c r="K200" s="173">
        <f t="shared" si="75"/>
        <v>3646.710000000021</v>
      </c>
      <c r="L200" s="171">
        <f t="shared" si="80"/>
        <v>1.1147713013221962E-2</v>
      </c>
      <c r="M200" s="182">
        <f t="shared" si="76"/>
        <v>-69227</v>
      </c>
      <c r="N200" s="184">
        <f t="shared" si="71"/>
        <v>-0.17306750000000001</v>
      </c>
      <c r="O200" s="183">
        <f t="shared" si="82"/>
        <v>-0.21948925130208335</v>
      </c>
      <c r="P200" s="182" t="b">
        <f t="shared" si="77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8"/>
        <v>76923.670000000013</v>
      </c>
      <c r="T200" s="173">
        <v>-78775</v>
      </c>
      <c r="U200" s="173">
        <f t="shared" si="83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61"/>
        <v>-0.57640326400266151</v>
      </c>
      <c r="Y200" s="807">
        <f t="shared" si="62"/>
        <v>-0.17045624831148559</v>
      </c>
    </row>
    <row r="201" spans="1:25" ht="20.100000000000001" customHeight="1" x14ac:dyDescent="0.25">
      <c r="A201" s="163">
        <f t="shared" si="81"/>
        <v>289</v>
      </c>
      <c r="B201" s="172">
        <v>42522</v>
      </c>
      <c r="C201" s="215">
        <v>2099.33</v>
      </c>
      <c r="D201" s="171">
        <f t="shared" si="79"/>
        <v>1.1349817592217789E-3</v>
      </c>
      <c r="E201" s="209">
        <f t="shared" si="72"/>
        <v>-1.4792336523278321E-3</v>
      </c>
      <c r="F201" s="219">
        <v>4952.25</v>
      </c>
      <c r="G201" s="171">
        <f t="shared" si="73"/>
        <v>8.4881923181855839E-4</v>
      </c>
      <c r="H201" s="203">
        <f t="shared" si="74"/>
        <v>-2.7387709409430999E-2</v>
      </c>
      <c r="I201" s="221">
        <v>334317.64</v>
      </c>
      <c r="J201" s="173">
        <v>400000</v>
      </c>
      <c r="K201" s="173">
        <f t="shared" si="75"/>
        <v>3544.640000000014</v>
      </c>
      <c r="L201" s="171">
        <f t="shared" si="80"/>
        <v>1.0716231373177417E-2</v>
      </c>
      <c r="M201" s="182">
        <f t="shared" si="76"/>
        <v>-65682.359999999986</v>
      </c>
      <c r="N201" s="184">
        <f t="shared" si="71"/>
        <v>-0.16420589999999996</v>
      </c>
      <c r="O201" s="183">
        <f t="shared" si="82"/>
        <v>-0.20753012102076121</v>
      </c>
      <c r="P201" s="182" t="b">
        <f t="shared" si="77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8"/>
        <v>85683.450000000012</v>
      </c>
      <c r="T201" s="173">
        <v>-75736.72</v>
      </c>
      <c r="U201" s="173">
        <f t="shared" si="83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61"/>
        <v>-0.54609297540860979</v>
      </c>
      <c r="Y201" s="807">
        <f t="shared" si="62"/>
        <v>-0.16272666634767213</v>
      </c>
    </row>
    <row r="202" spans="1:25" ht="20.100000000000001" customHeight="1" x14ac:dyDescent="0.25">
      <c r="A202" s="163">
        <f t="shared" si="81"/>
        <v>290</v>
      </c>
      <c r="B202" s="172">
        <v>42523</v>
      </c>
      <c r="C202" s="215">
        <v>2105.2600000000002</v>
      </c>
      <c r="D202" s="171">
        <f t="shared" si="79"/>
        <v>2.8247107410460915E-3</v>
      </c>
      <c r="E202" s="209">
        <f t="shared" si="72"/>
        <v>1.3412986815320121E-3</v>
      </c>
      <c r="F202" s="219">
        <v>4971.3599999999997</v>
      </c>
      <c r="G202" s="171">
        <f t="shared" si="73"/>
        <v>3.8588520369528339E-3</v>
      </c>
      <c r="H202" s="203">
        <f t="shared" si="74"/>
        <v>-2.3634542490720223E-2</v>
      </c>
      <c r="I202" s="221">
        <v>335688.99</v>
      </c>
      <c r="J202" s="173">
        <v>400000</v>
      </c>
      <c r="K202" s="173">
        <f t="shared" si="75"/>
        <v>1371.3499999999767</v>
      </c>
      <c r="L202" s="171">
        <f t="shared" si="80"/>
        <v>4.1019373072864974E-3</v>
      </c>
      <c r="M202" s="182">
        <f t="shared" si="76"/>
        <v>-64311.010000000009</v>
      </c>
      <c r="N202" s="184">
        <f t="shared" si="71"/>
        <v>-0.16077752500000003</v>
      </c>
      <c r="O202" s="183">
        <f t="shared" si="82"/>
        <v>-0.20249652071120694</v>
      </c>
      <c r="P202" s="182" t="b">
        <f t="shared" si="77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8"/>
        <v>85683.449999999983</v>
      </c>
      <c r="T202" s="173">
        <v>-74052.52</v>
      </c>
      <c r="U202" s="173">
        <f t="shared" si="83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61"/>
        <v>-0.53414914968335436</v>
      </c>
      <c r="Y202" s="807">
        <f t="shared" si="62"/>
        <v>-0.16211882368153205</v>
      </c>
    </row>
    <row r="203" spans="1:25" ht="20.100000000000001" customHeight="1" x14ac:dyDescent="0.25">
      <c r="A203" s="163">
        <f t="shared" si="81"/>
        <v>291</v>
      </c>
      <c r="B203" s="172">
        <v>42524</v>
      </c>
      <c r="C203" s="215">
        <v>2099.13</v>
      </c>
      <c r="D203" s="171">
        <f t="shared" si="79"/>
        <v>-2.911754367631603E-3</v>
      </c>
      <c r="E203" s="209">
        <f t="shared" si="72"/>
        <v>-1.5743612183938402E-3</v>
      </c>
      <c r="F203" s="219">
        <v>4942.51</v>
      </c>
      <c r="G203" s="171">
        <f t="shared" si="73"/>
        <v>-5.8032409642430755E-3</v>
      </c>
      <c r="H203" s="203">
        <f t="shared" si="74"/>
        <v>-2.9300626509810006E-2</v>
      </c>
      <c r="I203" s="221">
        <v>333931.11</v>
      </c>
      <c r="J203" s="173">
        <v>400000</v>
      </c>
      <c r="K203" s="173">
        <f t="shared" si="75"/>
        <v>-1757.8800000000047</v>
      </c>
      <c r="L203" s="171">
        <f t="shared" si="80"/>
        <v>-5.2366328725884179E-3</v>
      </c>
      <c r="M203" s="182">
        <f t="shared" si="76"/>
        <v>-66068.890000000014</v>
      </c>
      <c r="N203" s="184">
        <f t="shared" si="71"/>
        <v>-0.16517222500000003</v>
      </c>
      <c r="O203" s="183">
        <f t="shared" si="82"/>
        <v>-0.20731668447164953</v>
      </c>
      <c r="P203" s="182" t="b">
        <f t="shared" si="77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8"/>
        <v>73642.349999999977</v>
      </c>
      <c r="T203" s="173">
        <v>-75134.75</v>
      </c>
      <c r="U203" s="173">
        <f t="shared" si="83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61"/>
        <v>-0.54817347946899575</v>
      </c>
      <c r="Y203" s="807">
        <f t="shared" si="62"/>
        <v>-0.16359786378160621</v>
      </c>
    </row>
    <row r="204" spans="1:25" ht="20.100000000000001" customHeight="1" x14ac:dyDescent="0.25">
      <c r="A204" s="163">
        <f t="shared" si="81"/>
        <v>294</v>
      </c>
      <c r="B204" s="242">
        <v>42527</v>
      </c>
      <c r="C204" s="243">
        <v>2109.41</v>
      </c>
      <c r="D204" s="171">
        <f t="shared" si="79"/>
        <v>4.8972669629797792E-3</v>
      </c>
      <c r="E204" s="244">
        <f t="shared" si="72"/>
        <v>3.3151956774033027E-3</v>
      </c>
      <c r="F204" s="245">
        <v>4968.71</v>
      </c>
      <c r="G204" s="171">
        <f t="shared" si="73"/>
        <v>5.300950326858179E-3</v>
      </c>
      <c r="H204" s="246">
        <f t="shared" si="74"/>
        <v>-2.4154997348626153E-2</v>
      </c>
      <c r="I204" s="247">
        <v>340934.25</v>
      </c>
      <c r="J204" s="248">
        <v>400000</v>
      </c>
      <c r="K204" s="248">
        <f t="shared" si="75"/>
        <v>7003.140000000014</v>
      </c>
      <c r="L204" s="171">
        <f t="shared" si="80"/>
        <v>2.0971810622855757E-2</v>
      </c>
      <c r="M204" s="249">
        <f t="shared" si="76"/>
        <v>-59065.75</v>
      </c>
      <c r="N204" s="250">
        <f t="shared" si="71"/>
        <v>-0.14766437499999999</v>
      </c>
      <c r="O204" s="183">
        <f t="shared" si="82"/>
        <v>-0.18345038424744894</v>
      </c>
      <c r="P204" s="249" t="b">
        <f t="shared" si="77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8"/>
        <v>114837.67000000001</v>
      </c>
      <c r="T204" s="248">
        <v>-68552.800000000003</v>
      </c>
      <c r="U204" s="248">
        <f t="shared" si="83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61"/>
        <v>-0.48533049570728737</v>
      </c>
      <c r="Y204" s="807">
        <f t="shared" si="62"/>
        <v>-0.15097957067740328</v>
      </c>
    </row>
    <row r="205" spans="1:25" ht="20.100000000000001" customHeight="1" x14ac:dyDescent="0.25">
      <c r="A205" s="163">
        <f t="shared" si="81"/>
        <v>295</v>
      </c>
      <c r="B205" s="242">
        <v>42528</v>
      </c>
      <c r="C205" s="243">
        <v>2112.13</v>
      </c>
      <c r="D205" s="171">
        <f t="shared" si="79"/>
        <v>1.289460085995731E-3</v>
      </c>
      <c r="E205" s="244">
        <f t="shared" si="72"/>
        <v>4.6089305759023109E-3</v>
      </c>
      <c r="F205" s="245">
        <v>4961.75</v>
      </c>
      <c r="G205" s="171">
        <f t="shared" si="73"/>
        <v>-1.4007659935878802E-3</v>
      </c>
      <c r="H205" s="246">
        <f t="shared" si="74"/>
        <v>-2.5521927843352873E-2</v>
      </c>
      <c r="I205" s="247">
        <v>347691.97</v>
      </c>
      <c r="J205" s="248">
        <v>400000</v>
      </c>
      <c r="K205" s="248">
        <f t="shared" si="75"/>
        <v>6757.7199999999721</v>
      </c>
      <c r="L205" s="171">
        <f t="shared" si="80"/>
        <v>1.9821182530062532E-2</v>
      </c>
      <c r="M205" s="249">
        <f t="shared" si="76"/>
        <v>-52308.030000000028</v>
      </c>
      <c r="N205" s="250">
        <f t="shared" si="71"/>
        <v>-0.13077007500000007</v>
      </c>
      <c r="O205" s="183">
        <f t="shared" si="82"/>
        <v>-0.16191108438559329</v>
      </c>
      <c r="P205" s="249" t="b">
        <f t="shared" si="77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8"/>
        <v>126350.50999999998</v>
      </c>
      <c r="T205" s="248">
        <v>-62220.480000000003</v>
      </c>
      <c r="U205" s="248">
        <f t="shared" ref="U205:U236" si="84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61"/>
        <v>-0.42867271406068974</v>
      </c>
      <c r="Y205" s="807">
        <f t="shared" si="62"/>
        <v>-0.13537900557590238</v>
      </c>
    </row>
    <row r="206" spans="1:25" ht="20.100000000000001" customHeight="1" x14ac:dyDescent="0.25">
      <c r="A206" s="163">
        <f t="shared" si="81"/>
        <v>296</v>
      </c>
      <c r="B206" s="242">
        <v>42529</v>
      </c>
      <c r="C206" s="243">
        <v>2119.12</v>
      </c>
      <c r="D206" s="171">
        <f t="shared" si="79"/>
        <v>3.3094553839014555E-3</v>
      </c>
      <c r="E206" s="244">
        <f t="shared" si="72"/>
        <v>7.9336390099122144E-3</v>
      </c>
      <c r="F206" s="245">
        <v>4974.6400000000003</v>
      </c>
      <c r="G206" s="171">
        <f t="shared" si="73"/>
        <v>2.5978737340656677E-3</v>
      </c>
      <c r="H206" s="246">
        <f t="shared" si="74"/>
        <v>-2.2990356855274171E-2</v>
      </c>
      <c r="I206" s="247">
        <v>345415.56</v>
      </c>
      <c r="J206" s="248">
        <v>400000</v>
      </c>
      <c r="K206" s="248">
        <f t="shared" si="75"/>
        <v>-2276.4099999999744</v>
      </c>
      <c r="L206" s="171">
        <f t="shared" si="80"/>
        <v>-6.5472032615535372E-3</v>
      </c>
      <c r="M206" s="249">
        <f t="shared" si="76"/>
        <v>-54584.44</v>
      </c>
      <c r="N206" s="250">
        <f t="shared" si="71"/>
        <v>-0.1364611</v>
      </c>
      <c r="O206" s="183">
        <f t="shared" si="82"/>
        <v>-0.16838654315878379</v>
      </c>
      <c r="P206" s="249" t="b">
        <f t="shared" si="77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8"/>
        <v>120815.87</v>
      </c>
      <c r="T206" s="248">
        <v>-64591.5</v>
      </c>
      <c r="U206" s="248">
        <f t="shared" si="84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61"/>
        <v>-0.44683459202589337</v>
      </c>
      <c r="Y206" s="807">
        <f t="shared" si="62"/>
        <v>-0.1443947390099122</v>
      </c>
    </row>
    <row r="207" spans="1:25" ht="20.100000000000001" customHeight="1" x14ac:dyDescent="0.25">
      <c r="A207" s="163">
        <f t="shared" si="81"/>
        <v>297</v>
      </c>
      <c r="B207" s="242">
        <v>42530</v>
      </c>
      <c r="C207" s="243">
        <v>2115.48</v>
      </c>
      <c r="D207" s="171">
        <f t="shared" si="79"/>
        <v>-1.7176941371889619E-3</v>
      </c>
      <c r="E207" s="244">
        <f t="shared" si="72"/>
        <v>6.2023173075093528E-3</v>
      </c>
      <c r="F207" s="245">
        <v>4958.6099999999997</v>
      </c>
      <c r="G207" s="171">
        <f t="shared" si="73"/>
        <v>-3.2223437273854296E-3</v>
      </c>
      <c r="H207" s="246">
        <f t="shared" si="74"/>
        <v>-2.6138617750456655E-2</v>
      </c>
      <c r="I207" s="247">
        <v>343338.01</v>
      </c>
      <c r="J207" s="248">
        <v>400000</v>
      </c>
      <c r="K207" s="248">
        <f t="shared" si="75"/>
        <v>-2077.5499999999884</v>
      </c>
      <c r="L207" s="171">
        <f t="shared" si="80"/>
        <v>-6.0146392941881031E-3</v>
      </c>
      <c r="M207" s="249">
        <f t="shared" si="76"/>
        <v>-56661.989999999991</v>
      </c>
      <c r="N207" s="250">
        <f t="shared" si="71"/>
        <v>-0.14165497499999999</v>
      </c>
      <c r="O207" s="183">
        <f t="shared" si="82"/>
        <v>-0.17420700208333334</v>
      </c>
      <c r="P207" s="249" t="b">
        <f t="shared" si="77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8"/>
        <v>118737.32</v>
      </c>
      <c r="T207" s="248">
        <v>-66856.5</v>
      </c>
      <c r="U207" s="248">
        <f t="shared" si="84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61"/>
        <v>-0.46334383318732236</v>
      </c>
      <c r="Y207" s="807">
        <f t="shared" si="62"/>
        <v>-0.14785729230750935</v>
      </c>
    </row>
    <row r="208" spans="1:25" ht="20.100000000000001" customHeight="1" x14ac:dyDescent="0.25">
      <c r="A208" s="163">
        <f t="shared" si="81"/>
        <v>298</v>
      </c>
      <c r="B208" s="242">
        <v>42531</v>
      </c>
      <c r="C208" s="243">
        <v>2096.0700000000002</v>
      </c>
      <c r="D208" s="171">
        <f t="shared" si="79"/>
        <v>-9.1752226445061431E-3</v>
      </c>
      <c r="E208" s="244">
        <f t="shared" si="72"/>
        <v>-3.0298129792050619E-3</v>
      </c>
      <c r="F208" s="245">
        <v>4894.54</v>
      </c>
      <c r="G208" s="171">
        <f t="shared" si="73"/>
        <v>-1.2920959704433242E-2</v>
      </c>
      <c r="H208" s="246">
        <f t="shared" si="74"/>
        <v>-3.8721841428206664E-2</v>
      </c>
      <c r="I208" s="247">
        <v>332939.06</v>
      </c>
      <c r="J208" s="248">
        <v>400000</v>
      </c>
      <c r="K208" s="248">
        <f t="shared" si="75"/>
        <v>-10398.950000000012</v>
      </c>
      <c r="L208" s="171">
        <f t="shared" si="80"/>
        <v>-3.0287791322609493E-2</v>
      </c>
      <c r="M208" s="249">
        <f t="shared" si="76"/>
        <v>-67060.94</v>
      </c>
      <c r="N208" s="250">
        <f t="shared" si="71"/>
        <v>-0.16765235000000001</v>
      </c>
      <c r="O208" s="183">
        <f t="shared" si="82"/>
        <v>-0.20548664710570469</v>
      </c>
      <c r="P208" s="249" t="b">
        <f t="shared" si="77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8"/>
        <v>74271.950000000012</v>
      </c>
      <c r="T208" s="248">
        <v>-76706.92</v>
      </c>
      <c r="U208" s="248">
        <f t="shared" si="84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61"/>
        <v>-0.54570673543979042</v>
      </c>
      <c r="Y208" s="807">
        <f t="shared" si="62"/>
        <v>-0.16462253702079493</v>
      </c>
    </row>
    <row r="209" spans="1:25" ht="20.100000000000001" customHeight="1" x14ac:dyDescent="0.25">
      <c r="A209" s="163">
        <f t="shared" si="81"/>
        <v>301</v>
      </c>
      <c r="B209" s="172">
        <v>42534</v>
      </c>
      <c r="C209" s="215">
        <v>2079.06</v>
      </c>
      <c r="D209" s="171">
        <f t="shared" si="79"/>
        <v>-8.1151869928009161E-3</v>
      </c>
      <c r="E209" s="209">
        <f t="shared" si="72"/>
        <v>-1.1120412473126515E-2</v>
      </c>
      <c r="F209" s="219">
        <v>4848.4399999999996</v>
      </c>
      <c r="G209" s="171">
        <f t="shared" si="73"/>
        <v>-9.4186583417441398E-3</v>
      </c>
      <c r="H209" s="203">
        <f t="shared" si="74"/>
        <v>-4.7775791975175327E-2</v>
      </c>
      <c r="I209" s="221">
        <v>329797.69</v>
      </c>
      <c r="J209" s="173">
        <v>400000</v>
      </c>
      <c r="K209" s="173">
        <f t="shared" si="75"/>
        <v>-3141.3699999999953</v>
      </c>
      <c r="L209" s="171">
        <f t="shared" si="80"/>
        <v>-9.4352702263290934E-3</v>
      </c>
      <c r="M209" s="182">
        <f t="shared" si="76"/>
        <v>-70202.31</v>
      </c>
      <c r="N209" s="184">
        <f t="shared" si="71"/>
        <v>-0.175505775</v>
      </c>
      <c r="O209" s="183">
        <f t="shared" si="82"/>
        <v>-0.21296838644102989</v>
      </c>
      <c r="P209" s="182" t="b">
        <f t="shared" si="77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8"/>
        <v>74268.760000000009</v>
      </c>
      <c r="T209" s="173">
        <v>-78829.440000000002</v>
      </c>
      <c r="U209" s="173">
        <f t="shared" si="84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61"/>
        <v>-0.56674333187611492</v>
      </c>
      <c r="Y209" s="807">
        <f t="shared" si="62"/>
        <v>-0.1643853625268735</v>
      </c>
    </row>
    <row r="210" spans="1:25" ht="20.100000000000001" customHeight="1" x14ac:dyDescent="0.25">
      <c r="A210" s="163">
        <f t="shared" si="81"/>
        <v>302</v>
      </c>
      <c r="B210" s="172">
        <v>42535</v>
      </c>
      <c r="C210" s="215">
        <v>2075.3200000000002</v>
      </c>
      <c r="D210" s="171">
        <f t="shared" si="79"/>
        <v>-1.7988898829277566E-3</v>
      </c>
      <c r="E210" s="209">
        <f t="shared" si="72"/>
        <v>-1.2899297958562379E-2</v>
      </c>
      <c r="F210" s="219">
        <v>4843.55</v>
      </c>
      <c r="G210" s="171">
        <f t="shared" si="73"/>
        <v>-1.0085718292893008E-3</v>
      </c>
      <c r="H210" s="203">
        <f t="shared" si="74"/>
        <v>-4.8736178486556481E-2</v>
      </c>
      <c r="I210" s="221">
        <v>327192.19</v>
      </c>
      <c r="J210" s="173">
        <v>400000</v>
      </c>
      <c r="K210" s="173">
        <f t="shared" si="75"/>
        <v>-2605.5</v>
      </c>
      <c r="L210" s="171">
        <f t="shared" si="80"/>
        <v>-7.9002979068773949E-3</v>
      </c>
      <c r="M210" s="182">
        <f t="shared" si="76"/>
        <v>-72807.81</v>
      </c>
      <c r="N210" s="184">
        <f t="shared" si="71"/>
        <v>-0.18201952499999999</v>
      </c>
      <c r="O210" s="183">
        <f t="shared" si="82"/>
        <v>-0.22014116392798011</v>
      </c>
      <c r="P210" s="182" t="b">
        <f t="shared" si="77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8"/>
        <v>54607</v>
      </c>
      <c r="T210" s="173">
        <v>-80356</v>
      </c>
      <c r="U210" s="173">
        <f t="shared" si="84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61"/>
        <v>-0.58710160168724712</v>
      </c>
      <c r="Y210" s="807">
        <f t="shared" si="62"/>
        <v>-0.16912022704143762</v>
      </c>
    </row>
    <row r="211" spans="1:25" ht="20.100000000000001" customHeight="1" x14ac:dyDescent="0.25">
      <c r="A211" s="163">
        <f t="shared" si="81"/>
        <v>303</v>
      </c>
      <c r="B211" s="172">
        <v>42536</v>
      </c>
      <c r="C211" s="215">
        <v>2071.5</v>
      </c>
      <c r="D211" s="171">
        <f t="shared" si="79"/>
        <v>-1.8406799915194588E-3</v>
      </c>
      <c r="E211" s="209">
        <f t="shared" si="72"/>
        <v>-1.4716234470424866E-2</v>
      </c>
      <c r="F211" s="219">
        <v>4834.93</v>
      </c>
      <c r="G211" s="171">
        <f t="shared" si="73"/>
        <v>-1.7796863870507976E-3</v>
      </c>
      <c r="H211" s="203">
        <f t="shared" si="74"/>
        <v>-5.042912976019788E-2</v>
      </c>
      <c r="I211" s="221">
        <v>325610.21000000002</v>
      </c>
      <c r="J211" s="173">
        <v>400000</v>
      </c>
      <c r="K211" s="173">
        <f t="shared" si="75"/>
        <v>-1581.9799999999814</v>
      </c>
      <c r="L211" s="171">
        <f t="shared" si="80"/>
        <v>-4.8350176084581403E-3</v>
      </c>
      <c r="M211" s="182">
        <f t="shared" si="76"/>
        <v>-74389.789999999979</v>
      </c>
      <c r="N211" s="184">
        <f t="shared" si="71"/>
        <v>-0.18597447499999994</v>
      </c>
      <c r="O211" s="183">
        <f t="shared" si="82"/>
        <v>-0.22418210228960389</v>
      </c>
      <c r="P211" s="182" t="b">
        <f t="shared" si="77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8"/>
        <v>56487.48000000004</v>
      </c>
      <c r="T211" s="173">
        <v>-82018</v>
      </c>
      <c r="U211" s="173">
        <f t="shared" si="84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61"/>
        <v>-0.59926645519720934</v>
      </c>
      <c r="Y211" s="807">
        <f t="shared" si="62"/>
        <v>-0.17125824052957508</v>
      </c>
    </row>
    <row r="212" spans="1:25" ht="20.100000000000001" customHeight="1" x14ac:dyDescent="0.25">
      <c r="A212" s="163">
        <f t="shared" si="81"/>
        <v>304</v>
      </c>
      <c r="B212" s="172">
        <v>42537</v>
      </c>
      <c r="C212" s="215">
        <v>2077.9899999999998</v>
      </c>
      <c r="D212" s="171">
        <f t="shared" si="79"/>
        <v>3.1329954139511377E-3</v>
      </c>
      <c r="E212" s="209">
        <f t="shared" si="72"/>
        <v>-1.1629344951580198E-2</v>
      </c>
      <c r="F212" s="219">
        <v>4844.91</v>
      </c>
      <c r="G212" s="171">
        <f t="shared" si="73"/>
        <v>2.0641457063493292E-3</v>
      </c>
      <c r="H212" s="203">
        <f t="shared" si="74"/>
        <v>-4.8469077125517991E-2</v>
      </c>
      <c r="I212" s="221">
        <v>321688.28999999998</v>
      </c>
      <c r="J212" s="173">
        <v>400000</v>
      </c>
      <c r="K212" s="173">
        <f t="shared" si="75"/>
        <v>-3921.9200000000419</v>
      </c>
      <c r="L212" s="171">
        <f t="shared" si="80"/>
        <v>-1.2044831149490188E-2</v>
      </c>
      <c r="M212" s="182">
        <f t="shared" si="76"/>
        <v>-78311.710000000021</v>
      </c>
      <c r="N212" s="184">
        <f t="shared" si="71"/>
        <v>-0.19577927500000006</v>
      </c>
      <c r="O212" s="183">
        <f t="shared" si="82"/>
        <v>-0.23522493484786189</v>
      </c>
      <c r="P212" s="182" t="b">
        <f t="shared" si="77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8"/>
        <v>51029.27999999997</v>
      </c>
      <c r="T212" s="173">
        <v>-85365</v>
      </c>
      <c r="U212" s="173">
        <f t="shared" si="84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61"/>
        <v>-0.62991848976897058</v>
      </c>
      <c r="Y212" s="807">
        <f t="shared" si="62"/>
        <v>-0.18414993004841987</v>
      </c>
    </row>
    <row r="213" spans="1:25" ht="20.100000000000001" customHeight="1" x14ac:dyDescent="0.25">
      <c r="A213" s="163">
        <f t="shared" si="81"/>
        <v>305</v>
      </c>
      <c r="B213" s="172">
        <v>42538</v>
      </c>
      <c r="C213" s="215">
        <v>2071.2199999999998</v>
      </c>
      <c r="D213" s="171">
        <f t="shared" si="79"/>
        <v>-3.2579560055630598E-3</v>
      </c>
      <c r="E213" s="209">
        <f t="shared" si="72"/>
        <v>-1.4849413062917493E-2</v>
      </c>
      <c r="F213" s="219">
        <v>4800.34</v>
      </c>
      <c r="G213" s="171">
        <f t="shared" si="73"/>
        <v>-9.1993452922757516E-3</v>
      </c>
      <c r="H213" s="203">
        <f t="shared" si="74"/>
        <v>-5.7222538641318162E-2</v>
      </c>
      <c r="I213" s="221">
        <v>328584.48</v>
      </c>
      <c r="J213" s="173">
        <v>400000</v>
      </c>
      <c r="K213" s="173">
        <f t="shared" si="75"/>
        <v>6896.1900000000023</v>
      </c>
      <c r="L213" s="171">
        <f t="shared" si="80"/>
        <v>2.1437491554324228E-2</v>
      </c>
      <c r="M213" s="182">
        <f t="shared" si="76"/>
        <v>-71415.520000000019</v>
      </c>
      <c r="N213" s="184">
        <f t="shared" si="71"/>
        <v>-0.17853880000000005</v>
      </c>
      <c r="O213" s="183">
        <f t="shared" si="82"/>
        <v>-0.21380753016393447</v>
      </c>
      <c r="P213" s="182" t="b">
        <f t="shared" si="77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8"/>
        <v>59291.099999999977</v>
      </c>
      <c r="T213" s="173">
        <v>-78578</v>
      </c>
      <c r="U213" s="173">
        <f t="shared" si="84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61"/>
        <v>-0.5727665573314209</v>
      </c>
      <c r="Y213" s="807">
        <f t="shared" si="62"/>
        <v>-0.16368938693708257</v>
      </c>
    </row>
    <row r="214" spans="1:25" ht="20.100000000000001" customHeight="1" x14ac:dyDescent="0.25">
      <c r="A214" s="163">
        <f t="shared" si="81"/>
        <v>308</v>
      </c>
      <c r="B214" s="242">
        <v>42541</v>
      </c>
      <c r="C214" s="243">
        <v>2083.25</v>
      </c>
      <c r="D214" s="171">
        <f t="shared" si="79"/>
        <v>5.808171029634805E-3</v>
      </c>
      <c r="E214" s="244">
        <f t="shared" si="72"/>
        <v>-9.1274899640418055E-3</v>
      </c>
      <c r="F214" s="245">
        <v>4837.21</v>
      </c>
      <c r="G214" s="171">
        <f t="shared" si="73"/>
        <v>7.6807059499951853E-3</v>
      </c>
      <c r="H214" s="246">
        <f t="shared" si="74"/>
        <v>-4.9981342184339181E-2</v>
      </c>
      <c r="I214" s="247">
        <v>341742.75</v>
      </c>
      <c r="J214" s="248">
        <v>400000</v>
      </c>
      <c r="K214" s="248">
        <f t="shared" si="75"/>
        <v>13158.270000000019</v>
      </c>
      <c r="L214" s="171">
        <f t="shared" si="80"/>
        <v>4.0045318025976211E-2</v>
      </c>
      <c r="M214" s="249">
        <f t="shared" si="76"/>
        <v>-58257.25</v>
      </c>
      <c r="N214" s="250">
        <f t="shared" si="71"/>
        <v>-0.14564312500000001</v>
      </c>
      <c r="O214" s="183">
        <f t="shared" si="82"/>
        <v>-0.17271477729301948</v>
      </c>
      <c r="P214" s="249" t="b">
        <f t="shared" si="77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8"/>
        <v>88091.109999999986</v>
      </c>
      <c r="T214" s="248">
        <v>-65989</v>
      </c>
      <c r="U214" s="248">
        <f t="shared" si="84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61"/>
        <v>-0.46059520056581643</v>
      </c>
      <c r="Y214" s="807">
        <f t="shared" si="62"/>
        <v>-0.1365156350359582</v>
      </c>
    </row>
    <row r="215" spans="1:25" ht="20.100000000000001" customHeight="1" x14ac:dyDescent="0.25">
      <c r="A215" s="163">
        <f t="shared" si="81"/>
        <v>309</v>
      </c>
      <c r="B215" s="242">
        <v>42542</v>
      </c>
      <c r="C215" s="243">
        <v>2088.9</v>
      </c>
      <c r="D215" s="171">
        <f t="shared" si="79"/>
        <v>2.7121084843394171E-3</v>
      </c>
      <c r="E215" s="244">
        <f t="shared" si="72"/>
        <v>-6.4401362226745888E-3</v>
      </c>
      <c r="F215" s="245">
        <v>4843.76</v>
      </c>
      <c r="G215" s="171">
        <f t="shared" si="73"/>
        <v>1.3540863431606611E-3</v>
      </c>
      <c r="H215" s="246">
        <f t="shared" si="74"/>
        <v>-4.8694934894043168E-2</v>
      </c>
      <c r="I215" s="247">
        <v>348811.35</v>
      </c>
      <c r="J215" s="248">
        <v>400000</v>
      </c>
      <c r="K215" s="248">
        <f t="shared" si="75"/>
        <v>7068.5999999999767</v>
      </c>
      <c r="L215" s="171">
        <f t="shared" si="80"/>
        <v>2.0683979396783039E-2</v>
      </c>
      <c r="M215" s="249">
        <f t="shared" si="76"/>
        <v>-51188.650000000023</v>
      </c>
      <c r="N215" s="250">
        <f t="shared" si="71"/>
        <v>-0.12797162500000006</v>
      </c>
      <c r="O215" s="183">
        <f t="shared" si="82"/>
        <v>-0.15126743052184474</v>
      </c>
      <c r="P215" s="249" t="b">
        <f t="shared" si="77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8"/>
        <v>108984.14999999997</v>
      </c>
      <c r="T215" s="248">
        <v>-59378</v>
      </c>
      <c r="U215" s="248">
        <f t="shared" si="84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61"/>
        <v>-0.40362312196068761</v>
      </c>
      <c r="Y215" s="807">
        <f t="shared" si="62"/>
        <v>-0.12153148877732547</v>
      </c>
    </row>
    <row r="216" spans="1:25" ht="20.100000000000001" customHeight="1" x14ac:dyDescent="0.25">
      <c r="A216" s="163">
        <f t="shared" si="81"/>
        <v>310</v>
      </c>
      <c r="B216" s="242">
        <v>42543</v>
      </c>
      <c r="C216" s="243">
        <v>2085.4499999999998</v>
      </c>
      <c r="D216" s="171">
        <f t="shared" si="79"/>
        <v>-1.6515869596439622E-3</v>
      </c>
      <c r="E216" s="244">
        <f t="shared" si="72"/>
        <v>-8.081086737314851E-3</v>
      </c>
      <c r="F216" s="245">
        <v>4833.3100000000004</v>
      </c>
      <c r="G216" s="171">
        <f t="shared" si="73"/>
        <v>-2.1574149008208123E-3</v>
      </c>
      <c r="H216" s="246">
        <f t="shared" si="74"/>
        <v>-5.0747294616729076E-2</v>
      </c>
      <c r="I216" s="247">
        <v>345838.5</v>
      </c>
      <c r="J216" s="248">
        <v>400000</v>
      </c>
      <c r="K216" s="248">
        <f t="shared" si="75"/>
        <v>-2972.8499999999767</v>
      </c>
      <c r="L216" s="171">
        <f t="shared" si="80"/>
        <v>-8.5228017952970192E-3</v>
      </c>
      <c r="M216" s="249">
        <f t="shared" si="76"/>
        <v>-54161.5</v>
      </c>
      <c r="N216" s="250">
        <f t="shared" si="71"/>
        <v>-0.13540374999999999</v>
      </c>
      <c r="O216" s="183">
        <f t="shared" si="82"/>
        <v>-0.15953619254032259</v>
      </c>
      <c r="P216" s="249" t="b">
        <f t="shared" si="77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8"/>
        <v>94926.85</v>
      </c>
      <c r="T216" s="248">
        <v>-62340</v>
      </c>
      <c r="U216" s="248">
        <f t="shared" si="84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61"/>
        <v>-0.42655661547926044</v>
      </c>
      <c r="Y216" s="807">
        <f t="shared" si="62"/>
        <v>-0.12732266326268513</v>
      </c>
    </row>
    <row r="217" spans="1:25" ht="20.100000000000001" customHeight="1" x14ac:dyDescent="0.25">
      <c r="A217" s="163">
        <f t="shared" si="81"/>
        <v>311</v>
      </c>
      <c r="B217" s="242">
        <v>42544</v>
      </c>
      <c r="C217" s="243">
        <v>2113.3200000000002</v>
      </c>
      <c r="D217" s="171">
        <f t="shared" si="79"/>
        <v>1.3364022153492219E-2</v>
      </c>
      <c r="E217" s="244">
        <f t="shared" si="72"/>
        <v>5.1749395939956E-3</v>
      </c>
      <c r="F217" s="245">
        <v>4910.04</v>
      </c>
      <c r="G217" s="171">
        <f t="shared" si="73"/>
        <v>1.5875249052926369E-2</v>
      </c>
      <c r="H217" s="246">
        <f t="shared" si="74"/>
        <v>-3.5677671504605504E-2</v>
      </c>
      <c r="I217" s="247">
        <v>355595.65</v>
      </c>
      <c r="J217" s="248">
        <v>400000</v>
      </c>
      <c r="K217" s="248">
        <f t="shared" si="75"/>
        <v>9757.1500000000233</v>
      </c>
      <c r="L217" s="171">
        <f t="shared" si="80"/>
        <v>2.8213024287348065E-2</v>
      </c>
      <c r="M217" s="249">
        <f t="shared" si="76"/>
        <v>-44404.349999999977</v>
      </c>
      <c r="N217" s="250">
        <f t="shared" si="71"/>
        <v>-0.11101087499999994</v>
      </c>
      <c r="O217" s="183">
        <f t="shared" si="82"/>
        <v>-0.13037531219855297</v>
      </c>
      <c r="P217" s="249" t="b">
        <f t="shared" si="77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8"/>
        <v>133407.05000000002</v>
      </c>
      <c r="T217" s="248">
        <v>-52883</v>
      </c>
      <c r="U217" s="248">
        <f t="shared" si="84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61"/>
        <v>-0.34824329181571689</v>
      </c>
      <c r="Y217" s="807">
        <f t="shared" si="62"/>
        <v>-0.11618581459399555</v>
      </c>
    </row>
    <row r="218" spans="1:25" ht="20.100000000000001" customHeight="1" x14ac:dyDescent="0.25">
      <c r="A218" s="163">
        <f t="shared" si="81"/>
        <v>312</v>
      </c>
      <c r="B218" s="242">
        <v>42545</v>
      </c>
      <c r="C218" s="243">
        <v>2037.3</v>
      </c>
      <c r="D218" s="171">
        <f t="shared" si="79"/>
        <v>-3.5971835784452996E-2</v>
      </c>
      <c r="E218" s="244">
        <f t="shared" si="72"/>
        <v>-3.0983048267727069E-2</v>
      </c>
      <c r="F218" s="245">
        <v>4707.9799999999996</v>
      </c>
      <c r="G218" s="171">
        <f t="shared" si="73"/>
        <v>-4.1152414236951311E-2</v>
      </c>
      <c r="H218" s="246">
        <f t="shared" si="74"/>
        <v>-7.5361863424789413E-2</v>
      </c>
      <c r="I218" s="247">
        <v>344597.21</v>
      </c>
      <c r="J218" s="248">
        <v>400000</v>
      </c>
      <c r="K218" s="248">
        <f t="shared" si="75"/>
        <v>-10998.440000000002</v>
      </c>
      <c r="L218" s="171">
        <f t="shared" si="80"/>
        <v>-3.092962470153952E-2</v>
      </c>
      <c r="M218" s="249">
        <f t="shared" si="76"/>
        <v>-55402.789999999979</v>
      </c>
      <c r="N218" s="250">
        <f t="shared" si="71"/>
        <v>-0.13850697499999995</v>
      </c>
      <c r="O218" s="183">
        <f t="shared" si="82"/>
        <v>-0.16214638659855762</v>
      </c>
      <c r="P218" s="249" t="b">
        <f t="shared" si="77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8"/>
        <v>52384.340000000026</v>
      </c>
      <c r="T218" s="248">
        <v>-60319</v>
      </c>
      <c r="U218" s="248">
        <f t="shared" si="84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61"/>
        <v>-0.43237316217261174</v>
      </c>
      <c r="Y218" s="807">
        <f t="shared" si="62"/>
        <v>-0.10752392673227287</v>
      </c>
    </row>
    <row r="219" spans="1:25" ht="20.100000000000001" customHeight="1" x14ac:dyDescent="0.25">
      <c r="A219" s="163">
        <f t="shared" si="81"/>
        <v>315</v>
      </c>
      <c r="B219" s="172">
        <v>42548</v>
      </c>
      <c r="C219" s="215">
        <v>2000.54</v>
      </c>
      <c r="D219" s="171">
        <f t="shared" si="79"/>
        <v>-1.8043488931428847E-2</v>
      </c>
      <c r="E219" s="209">
        <f t="shared" si="72"/>
        <v>-4.8467494910675257E-2</v>
      </c>
      <c r="F219" s="219">
        <v>4594.4399999999996</v>
      </c>
      <c r="G219" s="171">
        <f t="shared" si="73"/>
        <v>-2.4116500070093749E-2</v>
      </c>
      <c r="H219" s="203">
        <f t="shared" si="74"/>
        <v>-9.7660899110316834E-2</v>
      </c>
      <c r="I219" s="221">
        <v>328090.52</v>
      </c>
      <c r="J219" s="173">
        <v>400000</v>
      </c>
      <c r="K219" s="173">
        <f t="shared" si="75"/>
        <v>-16506.690000000002</v>
      </c>
      <c r="L219" s="171">
        <f t="shared" si="80"/>
        <v>-4.7901403496563424E-2</v>
      </c>
      <c r="M219" s="182">
        <f t="shared" si="76"/>
        <v>-71909.479999999981</v>
      </c>
      <c r="N219" s="184">
        <f t="shared" si="71"/>
        <v>-0.17977369999999995</v>
      </c>
      <c r="O219" s="183">
        <f t="shared" si="82"/>
        <v>-0.20845188547619042</v>
      </c>
      <c r="P219" s="182" t="b">
        <f t="shared" si="77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8"/>
        <v>-2736.7099999999627</v>
      </c>
      <c r="T219" s="173">
        <v>-73004</v>
      </c>
      <c r="U219" s="173">
        <f t="shared" si="84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5">O219/W219</f>
        <v>-0.55190896186272698</v>
      </c>
      <c r="Y219" s="807">
        <f t="shared" ref="Y219:Y282" si="86">-(E219-N219)</f>
        <v>-0.1313062050893247</v>
      </c>
    </row>
    <row r="220" spans="1:25" ht="20.100000000000001" customHeight="1" x14ac:dyDescent="0.25">
      <c r="A220" s="163">
        <f t="shared" si="81"/>
        <v>316</v>
      </c>
      <c r="B220" s="172">
        <v>42549</v>
      </c>
      <c r="C220" s="215">
        <v>2036.09</v>
      </c>
      <c r="D220" s="171">
        <f t="shared" si="79"/>
        <v>1.7770202045447707E-2</v>
      </c>
      <c r="E220" s="209">
        <f t="shared" si="72"/>
        <v>-3.1558570042426959E-2</v>
      </c>
      <c r="F220" s="219">
        <v>4691.8599999999997</v>
      </c>
      <c r="G220" s="171">
        <f t="shared" si="73"/>
        <v>2.1203889919119649E-2</v>
      </c>
      <c r="H220" s="203">
        <f t="shared" si="74"/>
        <v>-7.85278001453346E-2</v>
      </c>
      <c r="I220" s="221">
        <v>347315.97</v>
      </c>
      <c r="J220" s="173">
        <v>400000</v>
      </c>
      <c r="K220" s="173">
        <f t="shared" si="75"/>
        <v>19225.449999999953</v>
      </c>
      <c r="L220" s="171">
        <f t="shared" ref="L220:L247" si="87">K220/I219</f>
        <v>5.8598005209050091E-2</v>
      </c>
      <c r="M220" s="182">
        <f t="shared" si="76"/>
        <v>-52684.030000000028</v>
      </c>
      <c r="N220" s="184">
        <f t="shared" si="71"/>
        <v>-0.13171007500000007</v>
      </c>
      <c r="O220" s="183">
        <f t="shared" si="82"/>
        <v>-0.15223767371439881</v>
      </c>
      <c r="P220" s="182" t="b">
        <f t="shared" si="77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8"/>
        <v>23310.929999999993</v>
      </c>
      <c r="T220" s="173">
        <v>-57120</v>
      </c>
      <c r="U220" s="173">
        <f t="shared" si="84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5"/>
        <v>-0.39843626711658386</v>
      </c>
      <c r="Y220" s="807">
        <f t="shared" si="86"/>
        <v>-0.10015150495757311</v>
      </c>
    </row>
    <row r="221" spans="1:25" ht="20.100000000000001" customHeight="1" x14ac:dyDescent="0.25">
      <c r="A221" s="163">
        <f t="shared" si="81"/>
        <v>317</v>
      </c>
      <c r="B221" s="172">
        <v>42550</v>
      </c>
      <c r="C221" s="215">
        <v>2070.77</v>
      </c>
      <c r="D221" s="171">
        <f t="shared" si="79"/>
        <v>1.7032645904650614E-2</v>
      </c>
      <c r="E221" s="209">
        <f t="shared" si="72"/>
        <v>-1.506345008656612E-2</v>
      </c>
      <c r="F221" s="219">
        <v>4779.24</v>
      </c>
      <c r="G221" s="171">
        <f t="shared" si="73"/>
        <v>1.8623744101486428E-2</v>
      </c>
      <c r="H221" s="203">
        <f t="shared" si="74"/>
        <v>-6.1366537698607546E-2</v>
      </c>
      <c r="I221" s="221">
        <v>354799.59</v>
      </c>
      <c r="J221" s="173">
        <v>400000</v>
      </c>
      <c r="K221" s="173">
        <f t="shared" si="75"/>
        <v>7483.6200000000536</v>
      </c>
      <c r="L221" s="171">
        <f t="shared" si="87"/>
        <v>2.154700804572866E-2</v>
      </c>
      <c r="M221" s="182">
        <f t="shared" si="76"/>
        <v>-45200.409999999974</v>
      </c>
      <c r="N221" s="184">
        <f t="shared" si="71"/>
        <v>-0.11300102499999994</v>
      </c>
      <c r="O221" s="183">
        <f t="shared" si="82"/>
        <v>-0.13020070782728699</v>
      </c>
      <c r="P221" s="182" t="b">
        <f t="shared" si="77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8"/>
        <v>33140.72000000003</v>
      </c>
      <c r="T221" s="173">
        <v>-52035</v>
      </c>
      <c r="U221" s="173">
        <f t="shared" si="84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5"/>
        <v>-0.34092315843402937</v>
      </c>
      <c r="Y221" s="807">
        <f t="shared" si="86"/>
        <v>-9.7937574913433814E-2</v>
      </c>
    </row>
    <row r="222" spans="1:25" ht="20.100000000000001" customHeight="1" x14ac:dyDescent="0.25">
      <c r="A222" s="163">
        <f t="shared" si="81"/>
        <v>318</v>
      </c>
      <c r="B222" s="172">
        <v>42551</v>
      </c>
      <c r="C222" s="215">
        <v>2098.86</v>
      </c>
      <c r="D222" s="171">
        <f t="shared" si="79"/>
        <v>1.3565002390415229E-2</v>
      </c>
      <c r="E222" s="209">
        <f t="shared" si="72"/>
        <v>-1.7027834325830592E-3</v>
      </c>
      <c r="F222" s="219">
        <v>4842.67</v>
      </c>
      <c r="G222" s="171">
        <f t="shared" si="73"/>
        <v>1.3271984667018248E-2</v>
      </c>
      <c r="H222" s="203">
        <f t="shared" si="74"/>
        <v>-4.8909008778993214E-2</v>
      </c>
      <c r="I222" s="472">
        <v>358404.16</v>
      </c>
      <c r="J222" s="173">
        <v>400000</v>
      </c>
      <c r="K222" s="173">
        <f t="shared" si="75"/>
        <v>3604.5699999999488</v>
      </c>
      <c r="L222" s="171">
        <f t="shared" si="87"/>
        <v>1.0159453679188154E-2</v>
      </c>
      <c r="M222" s="182">
        <f t="shared" si="76"/>
        <v>-41595.840000000026</v>
      </c>
      <c r="N222" s="184">
        <f t="shared" ref="N222:N253" si="88">M222/J222</f>
        <v>-0.10398960000000007</v>
      </c>
      <c r="O222" s="183">
        <f t="shared" si="82"/>
        <v>-0.11944088490566046</v>
      </c>
      <c r="P222" s="182" t="b">
        <f t="shared" si="77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8"/>
        <v>37609.079999999958</v>
      </c>
      <c r="T222" s="173">
        <v>-50056</v>
      </c>
      <c r="U222" s="173">
        <f t="shared" si="84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5"/>
        <v>-0.31334220134911017</v>
      </c>
      <c r="Y222" s="807">
        <f t="shared" si="86"/>
        <v>-0.102286816567417</v>
      </c>
    </row>
    <row r="223" spans="1:25" ht="20.100000000000001" customHeight="1" x14ac:dyDescent="0.25">
      <c r="A223" s="163">
        <f t="shared" si="81"/>
        <v>319</v>
      </c>
      <c r="B223" s="172">
        <v>42552</v>
      </c>
      <c r="C223" s="215">
        <v>2102.9499999999998</v>
      </c>
      <c r="D223" s="171">
        <f t="shared" si="79"/>
        <v>1.9486769007936169E-3</v>
      </c>
      <c r="E223" s="209">
        <f t="shared" si="72"/>
        <v>2.4257529346842884E-4</v>
      </c>
      <c r="F223" s="219">
        <v>4862.59</v>
      </c>
      <c r="G223" s="171">
        <f t="shared" si="73"/>
        <v>4.1134332919649848E-3</v>
      </c>
      <c r="H223" s="203">
        <f t="shared" si="74"/>
        <v>-4.4996759432016746E-2</v>
      </c>
      <c r="I223" s="221">
        <v>358860.97</v>
      </c>
      <c r="J223" s="173">
        <v>400000</v>
      </c>
      <c r="K223" s="173">
        <f t="shared" si="75"/>
        <v>456.80999999999767</v>
      </c>
      <c r="L223" s="171">
        <f t="shared" si="87"/>
        <v>1.2745666791367535E-3</v>
      </c>
      <c r="M223" s="182">
        <f t="shared" si="76"/>
        <v>-41139.030000000028</v>
      </c>
      <c r="N223" s="184">
        <f t="shared" si="88"/>
        <v>-0.10284757500000007</v>
      </c>
      <c r="O223" s="183">
        <f t="shared" si="82"/>
        <v>-0.11775886134404397</v>
      </c>
      <c r="P223" s="182" t="b">
        <f t="shared" si="77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8"/>
        <v>86015.319999999949</v>
      </c>
      <c r="T223" s="173">
        <v>-51775</v>
      </c>
      <c r="U223" s="173">
        <f t="shared" si="84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5"/>
        <v>-0.30963269795000409</v>
      </c>
      <c r="Y223" s="807">
        <f t="shared" si="86"/>
        <v>-0.10309015029346849</v>
      </c>
    </row>
    <row r="224" spans="1:25" ht="20.100000000000001" customHeight="1" x14ac:dyDescent="0.25">
      <c r="A224" s="163">
        <f t="shared" si="81"/>
        <v>323</v>
      </c>
      <c r="B224" s="242">
        <v>42556</v>
      </c>
      <c r="C224" s="243">
        <v>2088.5500000000002</v>
      </c>
      <c r="D224" s="171">
        <f t="shared" si="79"/>
        <v>-6.847523716683534E-3</v>
      </c>
      <c r="E224" s="244">
        <f t="shared" ref="E224:E255" si="89">(C224-$C$2)/$C$2</f>
        <v>-6.6066094632902111E-3</v>
      </c>
      <c r="F224" s="245">
        <v>4822.8999999999996</v>
      </c>
      <c r="G224" s="171">
        <f t="shared" si="73"/>
        <v>-8.1623167900235286E-3</v>
      </c>
      <c r="H224" s="246">
        <f t="shared" ref="H224:H255" si="90">(F224-F$2)/F$2</f>
        <v>-5.2791798417031674E-2</v>
      </c>
      <c r="I224" s="247">
        <v>346939.19</v>
      </c>
      <c r="J224" s="248">
        <v>400000</v>
      </c>
      <c r="K224" s="248">
        <f t="shared" ref="K224:K255" si="91">I224-I223-J224+J223</f>
        <v>-11921.77999999997</v>
      </c>
      <c r="L224" s="171">
        <f t="shared" si="87"/>
        <v>-3.3221166403245163E-2</v>
      </c>
      <c r="M224" s="249">
        <f t="shared" ref="M224:M253" si="92">I224-J224</f>
        <v>-53060.81</v>
      </c>
      <c r="N224" s="250">
        <f t="shared" si="88"/>
        <v>-0.13265202500000001</v>
      </c>
      <c r="O224" s="183">
        <f t="shared" si="82"/>
        <v>-0.15000356696981426</v>
      </c>
      <c r="P224" s="249" t="b">
        <f t="shared" ref="P224:P255" si="93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8"/>
        <v>33140.880000000005</v>
      </c>
      <c r="T224" s="248">
        <v>-60102</v>
      </c>
      <c r="U224" s="248">
        <f t="shared" si="84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5"/>
        <v>-0.39358105998833326</v>
      </c>
      <c r="Y224" s="807">
        <f t="shared" si="86"/>
        <v>-0.12604541553670978</v>
      </c>
    </row>
    <row r="225" spans="1:25" ht="20.100000000000001" customHeight="1" x14ac:dyDescent="0.25">
      <c r="A225" s="163">
        <f t="shared" si="81"/>
        <v>324</v>
      </c>
      <c r="B225" s="242">
        <v>42557</v>
      </c>
      <c r="C225" s="243">
        <v>2088.5500000000002</v>
      </c>
      <c r="D225" s="171">
        <f t="shared" si="79"/>
        <v>0</v>
      </c>
      <c r="E225" s="244">
        <f t="shared" si="89"/>
        <v>-6.6066094632902111E-3</v>
      </c>
      <c r="F225" s="245">
        <v>4859.16</v>
      </c>
      <c r="G225" s="171">
        <f t="shared" si="73"/>
        <v>7.5182981193887954E-3</v>
      </c>
      <c r="H225" s="246">
        <f t="shared" si="90"/>
        <v>-4.5670404776400803E-2</v>
      </c>
      <c r="I225" s="247">
        <v>347494.51</v>
      </c>
      <c r="J225" s="248">
        <v>400000</v>
      </c>
      <c r="K225" s="248">
        <f t="shared" si="91"/>
        <v>555.32000000000698</v>
      </c>
      <c r="L225" s="171">
        <f t="shared" si="87"/>
        <v>1.6006263230164543E-3</v>
      </c>
      <c r="M225" s="249">
        <f t="shared" si="92"/>
        <v>-52505.489999999991</v>
      </c>
      <c r="N225" s="250">
        <f t="shared" si="88"/>
        <v>-0.13126372499999997</v>
      </c>
      <c r="O225" s="183">
        <f t="shared" si="82"/>
        <v>-0.14797554184027772</v>
      </c>
      <c r="P225" s="249" t="b">
        <f t="shared" si="93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8"/>
        <v>31700.690000000002</v>
      </c>
      <c r="T225" s="248">
        <v>-60101</v>
      </c>
      <c r="U225" s="248">
        <f t="shared" si="84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5"/>
        <v>-0.38913373808917301</v>
      </c>
      <c r="Y225" s="807">
        <f t="shared" si="86"/>
        <v>-0.12465711553670976</v>
      </c>
    </row>
    <row r="226" spans="1:25" ht="20.100000000000001" customHeight="1" x14ac:dyDescent="0.25">
      <c r="A226" s="163">
        <f t="shared" si="81"/>
        <v>325</v>
      </c>
      <c r="B226" s="242">
        <v>42558</v>
      </c>
      <c r="C226" s="243">
        <v>2088.5500000000002</v>
      </c>
      <c r="D226" s="171">
        <f t="shared" si="79"/>
        <v>0</v>
      </c>
      <c r="E226" s="244">
        <f t="shared" si="89"/>
        <v>-6.6066094632902111E-3</v>
      </c>
      <c r="F226" s="245">
        <v>4876.8</v>
      </c>
      <c r="G226" s="171">
        <f t="shared" si="73"/>
        <v>3.630257081470939E-3</v>
      </c>
      <c r="H226" s="246">
        <f t="shared" si="90"/>
        <v>-4.2205943005283041E-2</v>
      </c>
      <c r="I226" s="247">
        <v>350011.84</v>
      </c>
      <c r="J226" s="248">
        <v>400000</v>
      </c>
      <c r="K226" s="248">
        <f t="shared" si="91"/>
        <v>2517.3300000000163</v>
      </c>
      <c r="L226" s="171">
        <f t="shared" si="87"/>
        <v>7.2442295563173538E-3</v>
      </c>
      <c r="M226" s="249">
        <f t="shared" si="92"/>
        <v>-49988.159999999974</v>
      </c>
      <c r="N226" s="250">
        <f t="shared" si="88"/>
        <v>-0.12497039999999994</v>
      </c>
      <c r="O226" s="183">
        <f t="shared" si="82"/>
        <v>-0.14044750338461531</v>
      </c>
      <c r="P226" s="249" t="b">
        <f t="shared" si="93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8"/>
        <v>34217.020000000019</v>
      </c>
      <c r="T226" s="248">
        <v>-60100</v>
      </c>
      <c r="U226" s="248">
        <f t="shared" si="84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5"/>
        <v>-0.37009362683417002</v>
      </c>
      <c r="Y226" s="807">
        <f t="shared" si="86"/>
        <v>-0.11836379053670973</v>
      </c>
    </row>
    <row r="227" spans="1:25" ht="20.100000000000001" customHeight="1" x14ac:dyDescent="0.25">
      <c r="A227" s="163">
        <f t="shared" si="81"/>
        <v>326</v>
      </c>
      <c r="B227" s="242">
        <v>42559</v>
      </c>
      <c r="C227" s="243">
        <v>2088.5500000000002</v>
      </c>
      <c r="D227" s="171">
        <f t="shared" si="79"/>
        <v>0</v>
      </c>
      <c r="E227" s="244">
        <f t="shared" si="89"/>
        <v>-6.6066094632902111E-3</v>
      </c>
      <c r="F227" s="245">
        <v>4956.75</v>
      </c>
      <c r="G227" s="171">
        <f t="shared" si="73"/>
        <v>1.6393946850393661E-2</v>
      </c>
      <c r="H227" s="246">
        <f t="shared" si="90"/>
        <v>-2.6503918141288729E-2</v>
      </c>
      <c r="I227" s="247">
        <f>356591.17-44.77</f>
        <v>356546.39999999997</v>
      </c>
      <c r="J227" s="248">
        <v>400000</v>
      </c>
      <c r="K227" s="248">
        <f t="shared" si="91"/>
        <v>6534.5599999999395</v>
      </c>
      <c r="L227" s="171">
        <f t="shared" si="87"/>
        <v>1.8669539864708401E-2</v>
      </c>
      <c r="M227" s="249">
        <f t="shared" si="92"/>
        <v>-43453.600000000035</v>
      </c>
      <c r="N227" s="250">
        <f t="shared" si="88"/>
        <v>-0.10863400000000009</v>
      </c>
      <c r="O227" s="183">
        <f t="shared" si="82"/>
        <v>-0.12171340030674857</v>
      </c>
      <c r="P227" s="249" t="b">
        <f t="shared" si="93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8"/>
        <v>39253.619999999937</v>
      </c>
      <c r="T227" s="248">
        <v>-54317</v>
      </c>
      <c r="U227" s="248">
        <f t="shared" si="84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5"/>
        <v>-0.32101370254511552</v>
      </c>
      <c r="Y227" s="807">
        <f t="shared" si="86"/>
        <v>-0.10202739053670988</v>
      </c>
    </row>
    <row r="228" spans="1:25" ht="20.100000000000001" customHeight="1" x14ac:dyDescent="0.25">
      <c r="A228" s="163">
        <f t="shared" si="81"/>
        <v>329</v>
      </c>
      <c r="B228" s="172">
        <v>42562</v>
      </c>
      <c r="C228" s="215">
        <v>2137.16</v>
      </c>
      <c r="D228" s="171">
        <f t="shared" si="79"/>
        <v>2.3274520600416397E-2</v>
      </c>
      <c r="E228" s="209">
        <f t="shared" si="89"/>
        <v>1.6514145469073933E-2</v>
      </c>
      <c r="F228" s="219">
        <v>4988.63</v>
      </c>
      <c r="G228" s="171">
        <f t="shared" si="73"/>
        <v>6.4316336309073706E-3</v>
      </c>
      <c r="H228" s="203">
        <f t="shared" si="90"/>
        <v>-2.0242748001649689E-2</v>
      </c>
      <c r="I228" s="221">
        <v>356544.06</v>
      </c>
      <c r="J228" s="173">
        <v>400000</v>
      </c>
      <c r="K228" s="173">
        <f t="shared" si="91"/>
        <v>-2.3399999999674037</v>
      </c>
      <c r="L228" s="171">
        <f t="shared" si="87"/>
        <v>-6.5629606692632545E-6</v>
      </c>
      <c r="M228" s="182">
        <f t="shared" si="92"/>
        <v>-43455.94</v>
      </c>
      <c r="N228" s="184">
        <f t="shared" si="88"/>
        <v>-0.10863985000000001</v>
      </c>
      <c r="O228" s="183">
        <f t="shared" si="82"/>
        <v>-0.12061004623860183</v>
      </c>
      <c r="P228" s="182" t="b">
        <f t="shared" si="93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8"/>
        <v>41429.340000000026</v>
      </c>
      <c r="T228" s="173">
        <v>-55783</v>
      </c>
      <c r="U228" s="173">
        <f t="shared" si="84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5"/>
        <v>-0.31881287146864001</v>
      </c>
      <c r="Y228" s="807">
        <f t="shared" si="86"/>
        <v>-0.12515399546907394</v>
      </c>
    </row>
    <row r="229" spans="1:25" ht="20.100000000000001" customHeight="1" x14ac:dyDescent="0.25">
      <c r="A229" s="163">
        <f t="shared" si="81"/>
        <v>330</v>
      </c>
      <c r="B229" s="172">
        <v>42563</v>
      </c>
      <c r="C229" s="215">
        <v>2152.14</v>
      </c>
      <c r="D229" s="171">
        <f t="shared" si="79"/>
        <v>7.0093020644219524E-3</v>
      </c>
      <c r="E229" s="209">
        <f t="shared" si="89"/>
        <v>2.3639200167424428E-2</v>
      </c>
      <c r="F229" s="219">
        <v>5022.82</v>
      </c>
      <c r="G229" s="171">
        <f t="shared" si="73"/>
        <v>6.8535850524090985E-3</v>
      </c>
      <c r="H229" s="203">
        <f t="shared" si="90"/>
        <v>-1.3527898344364379E-2</v>
      </c>
      <c r="I229" s="221">
        <v>371135.11</v>
      </c>
      <c r="J229" s="173">
        <v>400000</v>
      </c>
      <c r="K229" s="173">
        <f t="shared" si="91"/>
        <v>14591.049999999988</v>
      </c>
      <c r="L229" s="171">
        <f t="shared" si="87"/>
        <v>4.092355373975376E-2</v>
      </c>
      <c r="M229" s="182">
        <f t="shared" si="92"/>
        <v>-28864.890000000014</v>
      </c>
      <c r="N229" s="184">
        <f t="shared" si="88"/>
        <v>-7.2162225000000038E-2</v>
      </c>
      <c r="O229" s="183">
        <f t="shared" si="82"/>
        <v>-7.9870462670454598E-2</v>
      </c>
      <c r="P229" s="182" t="b">
        <f t="shared" si="93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8"/>
        <v>49410.760000000009</v>
      </c>
      <c r="T229" s="173">
        <v>-44731</v>
      </c>
      <c r="U229" s="173">
        <f t="shared" si="84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5"/>
        <v>-0.21023818951523621</v>
      </c>
      <c r="Y229" s="807">
        <f t="shared" si="86"/>
        <v>-9.5801425167424459E-2</v>
      </c>
    </row>
    <row r="230" spans="1:25" ht="20.100000000000001" customHeight="1" x14ac:dyDescent="0.25">
      <c r="A230" s="163">
        <f t="shared" si="81"/>
        <v>331</v>
      </c>
      <c r="B230" s="172">
        <v>42564</v>
      </c>
      <c r="C230" s="215">
        <v>2152.4299999999998</v>
      </c>
      <c r="D230" s="171">
        <f t="shared" si="79"/>
        <v>1.347495980744578E-4</v>
      </c>
      <c r="E230" s="209">
        <f t="shared" si="89"/>
        <v>2.3777135138220249E-2</v>
      </c>
      <c r="F230" s="219">
        <v>5005.72</v>
      </c>
      <c r="G230" s="171">
        <f t="shared" si="73"/>
        <v>-3.4044620352709147E-3</v>
      </c>
      <c r="H230" s="203">
        <f t="shared" si="90"/>
        <v>-1.6886305163304902E-2</v>
      </c>
      <c r="I230" s="221">
        <v>368490.23999999999</v>
      </c>
      <c r="J230" s="173">
        <v>400000</v>
      </c>
      <c r="K230" s="173">
        <f t="shared" si="91"/>
        <v>-2644.8699999999953</v>
      </c>
      <c r="L230" s="171">
        <f t="shared" si="87"/>
        <v>-7.1264343597133547E-3</v>
      </c>
      <c r="M230" s="182">
        <f t="shared" si="92"/>
        <v>-31509.760000000009</v>
      </c>
      <c r="N230" s="184">
        <f t="shared" si="88"/>
        <v>-7.8774400000000022E-2</v>
      </c>
      <c r="O230" s="183">
        <f t="shared" si="82"/>
        <v>-8.6925527492447155E-2</v>
      </c>
      <c r="P230" s="182" t="b">
        <f t="shared" si="93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8"/>
        <v>48566.919999999984</v>
      </c>
      <c r="T230" s="173">
        <v>-47124</v>
      </c>
      <c r="U230" s="173">
        <f t="shared" si="84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5"/>
        <v>-0.22926500122767923</v>
      </c>
      <c r="Y230" s="807">
        <f t="shared" si="86"/>
        <v>-0.10255153513822027</v>
      </c>
    </row>
    <row r="231" spans="1:25" ht="20.100000000000001" customHeight="1" x14ac:dyDescent="0.25">
      <c r="A231" s="163">
        <f t="shared" si="81"/>
        <v>332</v>
      </c>
      <c r="B231" s="172">
        <v>42565</v>
      </c>
      <c r="C231" s="215">
        <v>2163.75</v>
      </c>
      <c r="D231" s="171">
        <f t="shared" si="79"/>
        <v>5.2591721914302279E-3</v>
      </c>
      <c r="E231" s="209">
        <f t="shared" si="89"/>
        <v>2.9161355377561284E-2</v>
      </c>
      <c r="F231" s="219">
        <v>5034.05</v>
      </c>
      <c r="G231" s="171">
        <f t="shared" si="73"/>
        <v>5.6595255028247535E-3</v>
      </c>
      <c r="H231" s="203">
        <f t="shared" si="90"/>
        <v>-1.1322348135200354E-2</v>
      </c>
      <c r="I231" s="221">
        <v>370497.23</v>
      </c>
      <c r="J231" s="173">
        <v>400000</v>
      </c>
      <c r="K231" s="173">
        <f t="shared" si="91"/>
        <v>2006.9899999999907</v>
      </c>
      <c r="L231" s="171">
        <f t="shared" si="87"/>
        <v>5.4465214601070325E-3</v>
      </c>
      <c r="M231" s="182">
        <f t="shared" si="92"/>
        <v>-29502.770000000019</v>
      </c>
      <c r="N231" s="184">
        <f t="shared" si="88"/>
        <v>-7.3756925000000043E-2</v>
      </c>
      <c r="O231" s="183">
        <f t="shared" si="82"/>
        <v>-8.1143725470632574E-2</v>
      </c>
      <c r="P231" s="182" t="b">
        <f t="shared" si="93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8"/>
        <v>48565.820000000007</v>
      </c>
      <c r="T231" s="173">
        <v>-47213</v>
      </c>
      <c r="U231" s="173">
        <f t="shared" si="84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5"/>
        <v>-0.21446487755999355</v>
      </c>
      <c r="Y231" s="807">
        <f t="shared" si="86"/>
        <v>-0.10291828037756133</v>
      </c>
    </row>
    <row r="232" spans="1:25" ht="20.100000000000001" customHeight="1" x14ac:dyDescent="0.25">
      <c r="A232" s="163">
        <f t="shared" si="81"/>
        <v>333</v>
      </c>
      <c r="B232" s="172">
        <v>42566</v>
      </c>
      <c r="C232" s="215">
        <v>2161.7399999999998</v>
      </c>
      <c r="D232" s="171">
        <f t="shared" si="79"/>
        <v>-9.2894280762575077E-4</v>
      </c>
      <c r="E232" s="209">
        <f t="shared" si="89"/>
        <v>2.8205323338596929E-2</v>
      </c>
      <c r="F232" s="219">
        <v>5029.58</v>
      </c>
      <c r="G232" s="171">
        <f t="shared" si="73"/>
        <v>-8.8795303979901958E-4</v>
      </c>
      <c r="H232" s="203">
        <f t="shared" si="90"/>
        <v>-1.2200247461555059E-2</v>
      </c>
      <c r="I232" s="221">
        <v>368347.44</v>
      </c>
      <c r="J232" s="173">
        <v>400000</v>
      </c>
      <c r="K232" s="173">
        <f t="shared" si="91"/>
        <v>-2149.789999999979</v>
      </c>
      <c r="L232" s="171">
        <f t="shared" si="87"/>
        <v>-5.8024455405509484E-3</v>
      </c>
      <c r="M232" s="182">
        <f t="shared" si="92"/>
        <v>-31652.559999999998</v>
      </c>
      <c r="N232" s="184">
        <f t="shared" si="88"/>
        <v>-7.9131399999999991E-2</v>
      </c>
      <c r="O232" s="183">
        <f t="shared" si="82"/>
        <v>-8.6795026576576575E-2</v>
      </c>
      <c r="P232" s="182" t="b">
        <f t="shared" si="93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8"/>
        <v>53120.359999999986</v>
      </c>
      <c r="T232" s="173">
        <v>-48618</v>
      </c>
      <c r="U232" s="173">
        <f t="shared" si="84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5"/>
        <v>-0.22987045094898106</v>
      </c>
      <c r="Y232" s="807">
        <f t="shared" si="86"/>
        <v>-0.10733672333859692</v>
      </c>
    </row>
    <row r="233" spans="1:25" ht="20.100000000000001" customHeight="1" x14ac:dyDescent="0.25">
      <c r="A233" s="163">
        <f t="shared" si="81"/>
        <v>336</v>
      </c>
      <c r="B233" s="242">
        <v>42569</v>
      </c>
      <c r="C233" s="243">
        <v>2166.89</v>
      </c>
      <c r="D233" s="171">
        <f t="shared" si="79"/>
        <v>2.3823401519147036E-3</v>
      </c>
      <c r="E233" s="244">
        <f t="shared" si="89"/>
        <v>3.0654858164798907E-2</v>
      </c>
      <c r="F233" s="245">
        <v>5055.78</v>
      </c>
      <c r="G233" s="171">
        <f t="shared" si="73"/>
        <v>5.209182476469172E-3</v>
      </c>
      <c r="H233" s="246">
        <f t="shared" si="90"/>
        <v>-7.0546183003712066E-3</v>
      </c>
      <c r="I233" s="247">
        <f>369683.39+2.9</f>
        <v>369686.29000000004</v>
      </c>
      <c r="J233" s="248">
        <v>400000</v>
      </c>
      <c r="K233" s="248">
        <f t="shared" si="91"/>
        <v>1338.8500000000349</v>
      </c>
      <c r="L233" s="171">
        <f t="shared" si="87"/>
        <v>3.6347476719263611E-3</v>
      </c>
      <c r="M233" s="249">
        <f t="shared" si="92"/>
        <v>-30313.709999999963</v>
      </c>
      <c r="N233" s="250">
        <f t="shared" si="88"/>
        <v>-7.5784274999999901E-2</v>
      </c>
      <c r="O233" s="183">
        <f t="shared" si="82"/>
        <v>-8.2381566796874889E-2</v>
      </c>
      <c r="P233" s="249" t="b">
        <f t="shared" si="93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8"/>
        <v>53583.250000000058</v>
      </c>
      <c r="T233" s="248">
        <v>-47875</v>
      </c>
      <c r="U233" s="248">
        <f t="shared" si="84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5"/>
        <v>-0.21864838239892248</v>
      </c>
      <c r="Y233" s="807">
        <f t="shared" si="86"/>
        <v>-0.1064391331647988</v>
      </c>
    </row>
    <row r="234" spans="1:25" ht="20.100000000000001" customHeight="1" x14ac:dyDescent="0.25">
      <c r="A234" s="163">
        <f t="shared" si="81"/>
        <v>337</v>
      </c>
      <c r="B234" s="242">
        <v>42570</v>
      </c>
      <c r="C234" s="243">
        <v>2163.7800000000002</v>
      </c>
      <c r="D234" s="171">
        <f t="shared" si="79"/>
        <v>-1.4352366756040559E-3</v>
      </c>
      <c r="E234" s="244">
        <f t="shared" si="89"/>
        <v>2.9175624512471292E-2</v>
      </c>
      <c r="F234" s="245">
        <v>5036.37</v>
      </c>
      <c r="G234" s="171">
        <f t="shared" si="73"/>
        <v>-3.8391702170584669E-3</v>
      </c>
      <c r="H234" s="246">
        <f t="shared" si="90"/>
        <v>-1.0866704636958173E-2</v>
      </c>
      <c r="I234" s="247">
        <v>364028.85</v>
      </c>
      <c r="J234" s="248">
        <v>400000</v>
      </c>
      <c r="K234" s="248">
        <f t="shared" si="91"/>
        <v>-5657.4400000000605</v>
      </c>
      <c r="L234" s="171">
        <f t="shared" si="87"/>
        <v>-1.5303353554171728E-2</v>
      </c>
      <c r="M234" s="249">
        <f t="shared" si="92"/>
        <v>-35971.150000000023</v>
      </c>
      <c r="N234" s="250">
        <f t="shared" si="88"/>
        <v>-8.992787500000006E-2</v>
      </c>
      <c r="O234" s="183">
        <f t="shared" si="82"/>
        <v>-9.7466339298961494E-2</v>
      </c>
      <c r="P234" s="249" t="b">
        <f t="shared" si="93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8"/>
        <v>47608.449999999953</v>
      </c>
      <c r="T234" s="248">
        <v>-53164</v>
      </c>
      <c r="U234" s="248">
        <f t="shared" si="84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5"/>
        <v>-0.25900307778432563</v>
      </c>
      <c r="Y234" s="807">
        <f t="shared" si="86"/>
        <v>-0.11910349951247134</v>
      </c>
    </row>
    <row r="235" spans="1:25" ht="20.100000000000001" customHeight="1" x14ac:dyDescent="0.25">
      <c r="A235" s="163">
        <f t="shared" si="81"/>
        <v>338</v>
      </c>
      <c r="B235" s="242">
        <v>42571</v>
      </c>
      <c r="C235" s="243">
        <v>2173.02</v>
      </c>
      <c r="D235" s="171">
        <f t="shared" si="79"/>
        <v>4.2703047444748454E-3</v>
      </c>
      <c r="E235" s="244">
        <f t="shared" si="89"/>
        <v>3.3570518064724761E-2</v>
      </c>
      <c r="F235" s="245">
        <v>5089.93</v>
      </c>
      <c r="G235" s="171">
        <f t="shared" si="73"/>
        <v>1.0634643602435961E-2</v>
      </c>
      <c r="H235" s="246">
        <f t="shared" si="90"/>
        <v>-3.4762456546920032E-4</v>
      </c>
      <c r="I235" s="247">
        <v>366983.12</v>
      </c>
      <c r="J235" s="248">
        <v>400000</v>
      </c>
      <c r="K235" s="248">
        <f t="shared" si="91"/>
        <v>2954.2700000000186</v>
      </c>
      <c r="L235" s="171">
        <f t="shared" si="87"/>
        <v>8.1154831547005646E-3</v>
      </c>
      <c r="M235" s="249">
        <f t="shared" si="92"/>
        <v>-33016.880000000005</v>
      </c>
      <c r="N235" s="250">
        <f t="shared" si="88"/>
        <v>-8.254220000000001E-2</v>
      </c>
      <c r="O235" s="183">
        <f t="shared" si="82"/>
        <v>-8.9196859615384622E-2</v>
      </c>
      <c r="P235" s="249" t="b">
        <f t="shared" si="93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8"/>
        <v>51814.950000000012</v>
      </c>
      <c r="T235" s="248">
        <v>-50698</v>
      </c>
      <c r="U235" s="248">
        <f t="shared" si="84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5"/>
        <v>-0.2374845877052984</v>
      </c>
      <c r="Y235" s="807">
        <f t="shared" si="86"/>
        <v>-0.11611271806472477</v>
      </c>
    </row>
    <row r="236" spans="1:25" ht="20.100000000000001" customHeight="1" x14ac:dyDescent="0.25">
      <c r="A236" s="163">
        <f t="shared" si="81"/>
        <v>339</v>
      </c>
      <c r="B236" s="242">
        <v>42572</v>
      </c>
      <c r="C236" s="243">
        <v>2165.17</v>
      </c>
      <c r="D236" s="171">
        <f t="shared" si="79"/>
        <v>-3.6124840084306217E-3</v>
      </c>
      <c r="E236" s="244">
        <f t="shared" si="89"/>
        <v>2.9836761096630589E-2</v>
      </c>
      <c r="F236" s="245">
        <v>5073.8999999999996</v>
      </c>
      <c r="G236" s="171">
        <f t="shared" si="73"/>
        <v>-3.1493556885852365E-3</v>
      </c>
      <c r="H236" s="246">
        <f t="shared" si="90"/>
        <v>-3.4958854606516846E-3</v>
      </c>
      <c r="I236" s="247">
        <f>360276.2+45</f>
        <v>360321.2</v>
      </c>
      <c r="J236" s="248">
        <v>400000</v>
      </c>
      <c r="K236" s="248">
        <f t="shared" si="91"/>
        <v>-6661.9199999999837</v>
      </c>
      <c r="L236" s="171">
        <f t="shared" si="87"/>
        <v>-1.8153205520733445E-2</v>
      </c>
      <c r="M236" s="249">
        <f t="shared" si="92"/>
        <v>-39678.799999999988</v>
      </c>
      <c r="N236" s="250">
        <f t="shared" si="88"/>
        <v>-9.9196999999999966E-2</v>
      </c>
      <c r="O236" s="183">
        <f t="shared" si="82"/>
        <v>-0.10687818362831855</v>
      </c>
      <c r="P236" s="249" t="b">
        <f t="shared" si="93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8"/>
        <v>44572.140000000014</v>
      </c>
      <c r="T236" s="248">
        <v>-55981</v>
      </c>
      <c r="U236" s="248">
        <f t="shared" si="84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5"/>
        <v>-0.28480150496094381</v>
      </c>
      <c r="Y236" s="807">
        <f t="shared" si="86"/>
        <v>-0.12903376109663056</v>
      </c>
    </row>
    <row r="237" spans="1:25" ht="20.100000000000001" customHeight="1" x14ac:dyDescent="0.25">
      <c r="A237" s="163">
        <f t="shared" si="81"/>
        <v>340</v>
      </c>
      <c r="B237" s="242">
        <v>42573</v>
      </c>
      <c r="C237" s="243">
        <v>2175.0300000000002</v>
      </c>
      <c r="D237" s="171">
        <f t="shared" si="79"/>
        <v>4.553914935085987E-3</v>
      </c>
      <c r="E237" s="244">
        <f t="shared" si="89"/>
        <v>3.4526550103689116E-2</v>
      </c>
      <c r="F237" s="245">
        <v>5100.16</v>
      </c>
      <c r="G237" s="171">
        <f t="shared" si="73"/>
        <v>5.175506021009523E-3</v>
      </c>
      <c r="H237" s="246">
        <f t="shared" si="90"/>
        <v>1.6615275841074762E-3</v>
      </c>
      <c r="I237" s="247">
        <v>357414.17</v>
      </c>
      <c r="J237" s="248">
        <v>400000</v>
      </c>
      <c r="K237" s="248">
        <f t="shared" si="91"/>
        <v>-2907.0300000000279</v>
      </c>
      <c r="L237" s="171">
        <f t="shared" si="87"/>
        <v>-8.0678849870616208E-3</v>
      </c>
      <c r="M237" s="249">
        <f t="shared" si="92"/>
        <v>-42585.830000000016</v>
      </c>
      <c r="N237" s="250">
        <f t="shared" si="88"/>
        <v>-0.10646457500000005</v>
      </c>
      <c r="O237" s="183">
        <f t="shared" si="82"/>
        <v>-0.11437113534926477</v>
      </c>
      <c r="P237" s="249" t="b">
        <f t="shared" si="93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4">I237-R237</f>
        <v>41282.339999999967</v>
      </c>
      <c r="T237" s="248">
        <v>-58740</v>
      </c>
      <c r="U237" s="248">
        <f t="shared" ref="U237:U242" si="95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5"/>
        <v>-0.30534116441388054</v>
      </c>
      <c r="Y237" s="807">
        <f t="shared" si="86"/>
        <v>-0.14099112510368916</v>
      </c>
    </row>
    <row r="238" spans="1:25" ht="20.100000000000001" customHeight="1" x14ac:dyDescent="0.25">
      <c r="A238" s="163">
        <f t="shared" si="81"/>
        <v>343</v>
      </c>
      <c r="B238" s="172">
        <v>42576</v>
      </c>
      <c r="C238" s="215">
        <v>2168.48</v>
      </c>
      <c r="D238" s="171">
        <f t="shared" si="79"/>
        <v>-3.0114527155948108E-3</v>
      </c>
      <c r="E238" s="209">
        <f t="shared" si="89"/>
        <v>3.141112231502443E-2</v>
      </c>
      <c r="F238" s="219">
        <v>5097.62</v>
      </c>
      <c r="G238" s="171">
        <f t="shared" si="73"/>
        <v>-4.9802359141673275E-4</v>
      </c>
      <c r="H238" s="203">
        <f t="shared" si="90"/>
        <v>1.1626765127560684E-3</v>
      </c>
      <c r="I238" s="221">
        <v>355693.78</v>
      </c>
      <c r="J238" s="173">
        <v>400000</v>
      </c>
      <c r="K238" s="173">
        <f t="shared" si="91"/>
        <v>-1720.3899999999558</v>
      </c>
      <c r="L238" s="171">
        <f t="shared" si="87"/>
        <v>-4.8134353486879262E-3</v>
      </c>
      <c r="M238" s="182">
        <f t="shared" si="92"/>
        <v>-44306.219999999972</v>
      </c>
      <c r="N238" s="184">
        <f t="shared" si="88"/>
        <v>-0.11076554999999993</v>
      </c>
      <c r="O238" s="183">
        <f t="shared" si="82"/>
        <v>-0.11795077882653054</v>
      </c>
      <c r="P238" s="182" t="b">
        <f t="shared" si="93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4"/>
        <v>44347.69</v>
      </c>
      <c r="T238" s="173">
        <v>-60287</v>
      </c>
      <c r="U238" s="173">
        <f t="shared" si="95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5"/>
        <v>-0.3155398000077938</v>
      </c>
      <c r="Y238" s="807">
        <f t="shared" si="86"/>
        <v>-0.14217667231502437</v>
      </c>
    </row>
    <row r="239" spans="1:25" ht="20.100000000000001" customHeight="1" x14ac:dyDescent="0.25">
      <c r="A239" s="163">
        <f t="shared" si="81"/>
        <v>344</v>
      </c>
      <c r="B239" s="172">
        <v>42577</v>
      </c>
      <c r="C239" s="215">
        <v>2169.1799999999998</v>
      </c>
      <c r="D239" s="171">
        <f t="shared" si="79"/>
        <v>3.2280675865113727E-4</v>
      </c>
      <c r="E239" s="209">
        <f t="shared" si="89"/>
        <v>3.1744068796255673E-2</v>
      </c>
      <c r="F239" s="219">
        <v>5110.04</v>
      </c>
      <c r="G239" s="171">
        <f t="shared" si="73"/>
        <v>2.4364311188358632E-3</v>
      </c>
      <c r="H239" s="203">
        <f t="shared" si="90"/>
        <v>3.60194041282875E-3</v>
      </c>
      <c r="I239" s="221">
        <v>360934.05</v>
      </c>
      <c r="J239" s="173">
        <v>400000</v>
      </c>
      <c r="K239" s="173">
        <f t="shared" si="91"/>
        <v>5240.2699999999604</v>
      </c>
      <c r="L239" s="171">
        <f t="shared" si="87"/>
        <v>1.4732532011102247E-2</v>
      </c>
      <c r="M239" s="182">
        <f t="shared" si="92"/>
        <v>-39065.950000000012</v>
      </c>
      <c r="N239" s="184">
        <f t="shared" si="88"/>
        <v>-9.7664875000000026E-2</v>
      </c>
      <c r="O239" s="183">
        <f t="shared" si="82"/>
        <v>-0.10369795230741281</v>
      </c>
      <c r="P239" s="182" t="b">
        <f t="shared" si="93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4"/>
        <v>65324.06</v>
      </c>
      <c r="T239" s="173">
        <v>-55468</v>
      </c>
      <c r="U239" s="173">
        <f t="shared" si="95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5"/>
        <v>-0.27777556647702273</v>
      </c>
      <c r="Y239" s="807">
        <f t="shared" si="86"/>
        <v>-0.1294089437962557</v>
      </c>
    </row>
    <row r="240" spans="1:25" ht="20.100000000000001" customHeight="1" x14ac:dyDescent="0.25">
      <c r="A240" s="163">
        <f t="shared" si="81"/>
        <v>345</v>
      </c>
      <c r="B240" s="172">
        <v>42578</v>
      </c>
      <c r="C240" s="215">
        <v>2166.58</v>
      </c>
      <c r="D240" s="171">
        <f t="shared" si="79"/>
        <v>-1.1986096128490532E-3</v>
      </c>
      <c r="E240" s="209">
        <f t="shared" si="89"/>
        <v>3.0507410437396486E-2</v>
      </c>
      <c r="F240" s="219">
        <v>5139.8100000000004</v>
      </c>
      <c r="G240" s="171">
        <f t="shared" si="73"/>
        <v>5.8257860995218113E-3</v>
      </c>
      <c r="H240" s="203">
        <f t="shared" si="90"/>
        <v>9.4487106467389254E-3</v>
      </c>
      <c r="I240" s="221">
        <f>351218.55-2.4</f>
        <v>351216.14999999997</v>
      </c>
      <c r="J240" s="173">
        <v>400000</v>
      </c>
      <c r="K240" s="173">
        <f t="shared" si="91"/>
        <v>-9717.9000000000233</v>
      </c>
      <c r="L240" s="171">
        <f t="shared" si="87"/>
        <v>-2.6924309302488982E-2</v>
      </c>
      <c r="M240" s="182">
        <f t="shared" si="92"/>
        <v>-48783.850000000035</v>
      </c>
      <c r="N240" s="184">
        <f t="shared" si="88"/>
        <v>-0.12195962500000009</v>
      </c>
      <c r="O240" s="183">
        <f t="shared" si="82"/>
        <v>-0.12911812472826095</v>
      </c>
      <c r="P240" s="182" t="b">
        <f t="shared" si="93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4"/>
        <v>56112.359999999986</v>
      </c>
      <c r="T240" s="173">
        <v>-64415</v>
      </c>
      <c r="U240" s="173">
        <f t="shared" si="95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5"/>
        <v>-0.34562946157915941</v>
      </c>
      <c r="Y240" s="807">
        <f t="shared" si="86"/>
        <v>-0.15246703543739656</v>
      </c>
    </row>
    <row r="241" spans="1:25" ht="20.100000000000001" customHeight="1" x14ac:dyDescent="0.25">
      <c r="A241" s="163">
        <f t="shared" si="81"/>
        <v>346</v>
      </c>
      <c r="B241" s="172">
        <v>42579</v>
      </c>
      <c r="C241" s="215">
        <v>2170.06</v>
      </c>
      <c r="D241" s="171">
        <f t="shared" si="79"/>
        <v>1.6062180948776498E-3</v>
      </c>
      <c r="E241" s="209">
        <f t="shared" si="89"/>
        <v>3.2162630086946545E-2</v>
      </c>
      <c r="F241" s="219">
        <v>5154.9799999999996</v>
      </c>
      <c r="G241" s="171">
        <f t="shared" si="73"/>
        <v>2.9514709687710563E-3</v>
      </c>
      <c r="H241" s="203">
        <f t="shared" si="90"/>
        <v>1.2428069210676148E-2</v>
      </c>
      <c r="I241" s="221">
        <v>351887.73</v>
      </c>
      <c r="J241" s="173">
        <v>400000</v>
      </c>
      <c r="K241" s="173">
        <f t="shared" si="91"/>
        <v>671.5800000000163</v>
      </c>
      <c r="L241" s="171">
        <f t="shared" si="87"/>
        <v>1.9121558049082206E-3</v>
      </c>
      <c r="M241" s="182">
        <f t="shared" si="92"/>
        <v>-48112.270000000019</v>
      </c>
      <c r="N241" s="184">
        <f t="shared" si="88"/>
        <v>-0.12028067500000005</v>
      </c>
      <c r="O241" s="183">
        <f t="shared" si="82"/>
        <v>-0.12697259116690757</v>
      </c>
      <c r="P241" s="182" t="b">
        <f t="shared" si="93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4"/>
        <v>45396.380000000005</v>
      </c>
      <c r="T241" s="173">
        <v>-63248</v>
      </c>
      <c r="U241" s="173">
        <f t="shared" si="95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5"/>
        <v>-0.34059834689584434</v>
      </c>
      <c r="Y241" s="807">
        <f t="shared" si="86"/>
        <v>-0.15244330508694659</v>
      </c>
    </row>
    <row r="242" spans="1:25" ht="20.100000000000001" customHeight="1" x14ac:dyDescent="0.25">
      <c r="A242" s="163">
        <f t="shared" si="81"/>
        <v>347</v>
      </c>
      <c r="B242" s="172">
        <v>42580</v>
      </c>
      <c r="C242" s="215">
        <v>2173.6</v>
      </c>
      <c r="D242" s="171">
        <f t="shared" si="79"/>
        <v>1.6312913007013464E-3</v>
      </c>
      <c r="E242" s="209">
        <f t="shared" si="89"/>
        <v>3.3846388006316397E-2</v>
      </c>
      <c r="F242" s="219">
        <v>5162.13</v>
      </c>
      <c r="G242" s="171">
        <f t="shared" si="73"/>
        <v>1.3870082910119044E-3</v>
      </c>
      <c r="H242" s="203">
        <f t="shared" si="90"/>
        <v>1.3832315336724531E-2</v>
      </c>
      <c r="I242" s="414">
        <v>352850.19</v>
      </c>
      <c r="J242" s="173">
        <v>400000</v>
      </c>
      <c r="K242" s="173">
        <f t="shared" si="91"/>
        <v>962.46000000002095</v>
      </c>
      <c r="L242" s="171">
        <f t="shared" si="87"/>
        <v>2.7351337314319569E-3</v>
      </c>
      <c r="M242" s="182">
        <f t="shared" si="92"/>
        <v>-47149.81</v>
      </c>
      <c r="N242" s="184">
        <f t="shared" si="88"/>
        <v>-0.11787452499999999</v>
      </c>
      <c r="O242" s="183">
        <f t="shared" si="82"/>
        <v>-0.12407397768371757</v>
      </c>
      <c r="P242" s="182" t="b">
        <f t="shared" si="93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4"/>
        <v>54478.419999999984</v>
      </c>
      <c r="T242" s="173">
        <v>-61571</v>
      </c>
      <c r="U242" s="173">
        <f t="shared" si="95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5"/>
        <v>-0.33351281047184927</v>
      </c>
      <c r="Y242" s="807">
        <f t="shared" si="86"/>
        <v>-0.1517209130063164</v>
      </c>
    </row>
    <row r="243" spans="1:25" ht="20.100000000000001" customHeight="1" x14ac:dyDescent="0.25">
      <c r="A243" s="163">
        <f t="shared" si="81"/>
        <v>350</v>
      </c>
      <c r="B243" s="242">
        <v>42583</v>
      </c>
      <c r="C243" s="243">
        <v>2170.84</v>
      </c>
      <c r="D243" s="171">
        <f t="shared" si="79"/>
        <v>-1.2697828487301084E-3</v>
      </c>
      <c r="E243" s="244">
        <f t="shared" si="89"/>
        <v>3.253362759460441E-2</v>
      </c>
      <c r="F243" s="245">
        <v>5184.1899999999996</v>
      </c>
      <c r="G243" s="171">
        <f t="shared" si="73"/>
        <v>4.2734297663947806E-3</v>
      </c>
      <c r="H243" s="246">
        <f t="shared" si="90"/>
        <v>1.8164856531217428E-2</v>
      </c>
      <c r="I243" s="247">
        <v>345131.68</v>
      </c>
      <c r="J243" s="248">
        <v>400000</v>
      </c>
      <c r="K243" s="248">
        <f t="shared" si="91"/>
        <v>-7718.5100000000093</v>
      </c>
      <c r="L243" s="171">
        <f t="shared" si="87"/>
        <v>-2.1874750868066725E-2</v>
      </c>
      <c r="M243" s="249">
        <f t="shared" si="92"/>
        <v>-54868.320000000007</v>
      </c>
      <c r="N243" s="250">
        <f t="shared" si="88"/>
        <v>-0.13717080000000001</v>
      </c>
      <c r="O243" s="183">
        <f t="shared" si="82"/>
        <v>-0.14314752771428574</v>
      </c>
      <c r="P243" s="249" t="b">
        <f t="shared" si="93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6">I243-R243</f>
        <v>51853.020000000019</v>
      </c>
      <c r="T243" s="248">
        <v>-69701</v>
      </c>
      <c r="U243" s="248">
        <f t="shared" ref="U243:U251" si="97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5"/>
        <v>-0.38488018067376056</v>
      </c>
      <c r="Y243" s="807">
        <f t="shared" si="86"/>
        <v>-0.16970442759460441</v>
      </c>
    </row>
    <row r="244" spans="1:25" ht="20.100000000000001" customHeight="1" x14ac:dyDescent="0.25">
      <c r="A244" s="163">
        <f t="shared" si="81"/>
        <v>351</v>
      </c>
      <c r="B244" s="242">
        <v>42584</v>
      </c>
      <c r="C244" s="243">
        <v>2157.0300000000002</v>
      </c>
      <c r="D244" s="171">
        <f t="shared" si="79"/>
        <v>-6.3615927475078517E-3</v>
      </c>
      <c r="E244" s="244">
        <f t="shared" si="89"/>
        <v>2.5965069157740599E-2</v>
      </c>
      <c r="F244" s="245">
        <v>5137.7299999999996</v>
      </c>
      <c r="G244" s="171">
        <f t="shared" si="73"/>
        <v>-8.9618628946855801E-3</v>
      </c>
      <c r="H244" s="246">
        <f t="shared" si="90"/>
        <v>9.0402026827974442E-3</v>
      </c>
      <c r="I244" s="247">
        <v>341216.81</v>
      </c>
      <c r="J244" s="248">
        <v>400000</v>
      </c>
      <c r="K244" s="248">
        <f t="shared" si="91"/>
        <v>-3914.8699999999953</v>
      </c>
      <c r="L244" s="171">
        <f t="shared" si="87"/>
        <v>-1.1343119820237875E-2</v>
      </c>
      <c r="M244" s="249">
        <f t="shared" si="92"/>
        <v>-58783.19</v>
      </c>
      <c r="N244" s="250">
        <f t="shared" si="88"/>
        <v>-0.14695797500000002</v>
      </c>
      <c r="O244" s="183">
        <f t="shared" si="82"/>
        <v>-0.15292421757478633</v>
      </c>
      <c r="P244" s="249" t="b">
        <f t="shared" si="93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6"/>
        <v>46282.960000000021</v>
      </c>
      <c r="T244" s="248">
        <v>-70463</v>
      </c>
      <c r="U244" s="248">
        <f t="shared" si="97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5"/>
        <v>-0.41182058251403098</v>
      </c>
      <c r="Y244" s="807">
        <f t="shared" si="86"/>
        <v>-0.17292304415774062</v>
      </c>
    </row>
    <row r="245" spans="1:25" ht="20.100000000000001" customHeight="1" x14ac:dyDescent="0.25">
      <c r="A245" s="163">
        <f t="shared" si="81"/>
        <v>352</v>
      </c>
      <c r="B245" s="242">
        <v>42585</v>
      </c>
      <c r="C245" s="243">
        <v>2163.79</v>
      </c>
      <c r="D245" s="171">
        <f t="shared" si="79"/>
        <v>3.1339387954732955E-3</v>
      </c>
      <c r="E245" s="244">
        <f t="shared" si="89"/>
        <v>2.9180380890774484E-2</v>
      </c>
      <c r="F245" s="245">
        <v>5159.7299999999996</v>
      </c>
      <c r="G245" s="171">
        <f t="shared" si="73"/>
        <v>4.2820467404865578E-3</v>
      </c>
      <c r="H245" s="246">
        <f t="shared" si="90"/>
        <v>1.3360959993715213E-2</v>
      </c>
      <c r="I245" s="247">
        <v>347416.57</v>
      </c>
      <c r="J245" s="248">
        <v>400000</v>
      </c>
      <c r="K245" s="248">
        <f t="shared" si="91"/>
        <v>6199.7600000000093</v>
      </c>
      <c r="L245" s="171">
        <f t="shared" si="87"/>
        <v>1.8169562044730473E-2</v>
      </c>
      <c r="M245" s="249">
        <f t="shared" si="92"/>
        <v>-52583.429999999993</v>
      </c>
      <c r="N245" s="250">
        <f t="shared" si="88"/>
        <v>-0.13145857499999999</v>
      </c>
      <c r="O245" s="183">
        <f t="shared" si="82"/>
        <v>-0.13640694465553976</v>
      </c>
      <c r="P245" s="249" t="b">
        <f t="shared" si="93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6"/>
        <v>40930.960000000021</v>
      </c>
      <c r="T245" s="248">
        <v>-64757</v>
      </c>
      <c r="U245" s="248">
        <f t="shared" si="97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5"/>
        <v>-0.36764330643238863</v>
      </c>
      <c r="Y245" s="807">
        <f t="shared" si="86"/>
        <v>-0.16063895589077448</v>
      </c>
    </row>
    <row r="246" spans="1:25" ht="20.100000000000001" customHeight="1" x14ac:dyDescent="0.25">
      <c r="A246" s="163">
        <f t="shared" si="81"/>
        <v>353</v>
      </c>
      <c r="B246" s="242">
        <v>42586</v>
      </c>
      <c r="C246" s="243">
        <v>2164.25</v>
      </c>
      <c r="D246" s="171">
        <f t="shared" si="79"/>
        <v>2.1258994634416298E-4</v>
      </c>
      <c r="E246" s="244">
        <f t="shared" si="89"/>
        <v>2.939917429272652E-2</v>
      </c>
      <c r="F246" s="245">
        <v>5166.24</v>
      </c>
      <c r="G246" s="171">
        <f t="shared" si="73"/>
        <v>1.2616939258449993E-3</v>
      </c>
      <c r="H246" s="246">
        <f t="shared" si="90"/>
        <v>1.4639511361627741E-2</v>
      </c>
      <c r="I246" s="247">
        <v>348668.66</v>
      </c>
      <c r="J246" s="248">
        <v>400000</v>
      </c>
      <c r="K246" s="248">
        <f t="shared" si="91"/>
        <v>1252.0899999999674</v>
      </c>
      <c r="L246" s="171">
        <f t="shared" si="87"/>
        <v>3.6040019622551895E-3</v>
      </c>
      <c r="M246" s="249">
        <f t="shared" si="92"/>
        <v>-51331.340000000026</v>
      </c>
      <c r="N246" s="250">
        <f t="shared" si="88"/>
        <v>-0.12832835000000006</v>
      </c>
      <c r="O246" s="183">
        <f t="shared" si="82"/>
        <v>-0.13278167092776211</v>
      </c>
      <c r="P246" s="249" t="b">
        <f t="shared" si="93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6"/>
        <v>42182.049999999988</v>
      </c>
      <c r="T246" s="248">
        <v>-64756</v>
      </c>
      <c r="U246" s="248">
        <f t="shared" si="97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5"/>
        <v>-0.3585942983279467</v>
      </c>
      <c r="Y246" s="807">
        <f t="shared" si="86"/>
        <v>-0.15772752429272657</v>
      </c>
    </row>
    <row r="247" spans="1:25" ht="20.100000000000001" customHeight="1" x14ac:dyDescent="0.25">
      <c r="A247" s="163">
        <f t="shared" si="81"/>
        <v>354</v>
      </c>
      <c r="B247" s="242">
        <v>42587</v>
      </c>
      <c r="C247" s="243">
        <v>2182.87</v>
      </c>
      <c r="D247" s="171">
        <f t="shared" si="79"/>
        <v>8.6034423010280196E-3</v>
      </c>
      <c r="E247" s="244">
        <f t="shared" si="89"/>
        <v>3.8255550693479877E-2</v>
      </c>
      <c r="F247" s="245">
        <v>5221.12</v>
      </c>
      <c r="G247" s="171">
        <f t="shared" si="73"/>
        <v>1.0622812722599049E-2</v>
      </c>
      <c r="H247" s="246">
        <f t="shared" si="90"/>
        <v>2.5417836871771723E-2</v>
      </c>
      <c r="I247" s="247">
        <v>357514.04</v>
      </c>
      <c r="J247" s="248">
        <v>400000</v>
      </c>
      <c r="K247" s="248">
        <f t="shared" si="91"/>
        <v>8845.3800000000047</v>
      </c>
      <c r="L247" s="171">
        <f t="shared" si="87"/>
        <v>2.5369013664721128E-2</v>
      </c>
      <c r="M247" s="249">
        <f t="shared" si="92"/>
        <v>-42485.960000000021</v>
      </c>
      <c r="N247" s="250">
        <f t="shared" si="88"/>
        <v>-0.10621490000000006</v>
      </c>
      <c r="O247" s="183">
        <f t="shared" si="82"/>
        <v>-0.10959037351694921</v>
      </c>
      <c r="P247" s="249" t="b">
        <f t="shared" si="93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6"/>
        <v>61189.479999999981</v>
      </c>
      <c r="T247" s="248">
        <v>-56695</v>
      </c>
      <c r="U247" s="248">
        <f t="shared" si="97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5"/>
        <v>-0.29586019659875096</v>
      </c>
      <c r="Y247" s="807">
        <f t="shared" si="86"/>
        <v>-0.14447045069347994</v>
      </c>
    </row>
    <row r="248" spans="1:25" ht="20.100000000000001" customHeight="1" x14ac:dyDescent="0.25">
      <c r="A248" s="163">
        <f t="shared" si="81"/>
        <v>357</v>
      </c>
      <c r="B248" s="172">
        <v>42590</v>
      </c>
      <c r="C248" s="215">
        <v>2180.89</v>
      </c>
      <c r="D248" s="171">
        <f t="shared" si="79"/>
        <v>-9.0706272018032145E-4</v>
      </c>
      <c r="E248" s="209">
        <f t="shared" si="89"/>
        <v>3.7313787789425533E-2</v>
      </c>
      <c r="F248" s="219">
        <v>5213.1400000000003</v>
      </c>
      <c r="G248" s="171">
        <f t="shared" si="73"/>
        <v>-1.528407697965104E-3</v>
      </c>
      <c r="H248" s="203">
        <f t="shared" si="90"/>
        <v>2.3850580356266179E-2</v>
      </c>
      <c r="I248" s="221">
        <v>360717.48</v>
      </c>
      <c r="J248" s="173">
        <v>400000</v>
      </c>
      <c r="K248" s="173">
        <f t="shared" si="91"/>
        <v>3203.4400000000023</v>
      </c>
      <c r="L248" s="171">
        <f>K248/I247</f>
        <v>8.9603194324899878E-3</v>
      </c>
      <c r="M248" s="182">
        <f t="shared" si="92"/>
        <v>-39282.520000000019</v>
      </c>
      <c r="N248" s="184">
        <f t="shared" si="88"/>
        <v>-9.8206300000000052E-2</v>
      </c>
      <c r="O248" s="183">
        <f t="shared" si="82"/>
        <v>-0.10047577331932778</v>
      </c>
      <c r="P248" s="182" t="b">
        <f t="shared" si="93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6"/>
        <v>54664.27999999997</v>
      </c>
      <c r="T248" s="173">
        <v>-53403</v>
      </c>
      <c r="U248" s="173">
        <f t="shared" si="97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5"/>
        <v>-0.27173055985902822</v>
      </c>
      <c r="Y248" s="807">
        <f t="shared" si="86"/>
        <v>-0.13552008778942559</v>
      </c>
    </row>
    <row r="249" spans="1:25" ht="20.100000000000001" customHeight="1" x14ac:dyDescent="0.25">
      <c r="A249" s="163">
        <f t="shared" si="81"/>
        <v>358</v>
      </c>
      <c r="B249" s="172">
        <v>42591</v>
      </c>
      <c r="C249" s="215">
        <v>2181.89</v>
      </c>
      <c r="D249" s="171">
        <f t="shared" si="79"/>
        <v>4.5852839895638939E-4</v>
      </c>
      <c r="E249" s="209">
        <f t="shared" si="89"/>
        <v>3.7789425619756005E-2</v>
      </c>
      <c r="F249" s="219">
        <v>5214.1400000000003</v>
      </c>
      <c r="G249" s="171">
        <f t="shared" si="73"/>
        <v>1.9182297041706148E-4</v>
      </c>
      <c r="H249" s="203">
        <f t="shared" si="90"/>
        <v>2.4046978415853352E-2</v>
      </c>
      <c r="I249" s="221">
        <v>360792.14</v>
      </c>
      <c r="J249" s="173">
        <v>400000</v>
      </c>
      <c r="K249" s="173">
        <f t="shared" si="91"/>
        <v>74.660000000032596</v>
      </c>
      <c r="L249" s="171">
        <f t="shared" ref="L249:L260" si="98">K249/I248</f>
        <v>2.0697638495376658E-4</v>
      </c>
      <c r="M249" s="182">
        <f t="shared" si="92"/>
        <v>-39207.859999999986</v>
      </c>
      <c r="N249" s="184">
        <f t="shared" si="88"/>
        <v>-9.8019649999999958E-2</v>
      </c>
      <c r="O249" s="183">
        <f t="shared" si="82"/>
        <v>-0.10000468481145247</v>
      </c>
      <c r="P249" s="182" t="b">
        <f t="shared" si="93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6"/>
        <v>48306.48000000004</v>
      </c>
      <c r="T249" s="173">
        <v>-52872</v>
      </c>
      <c r="U249" s="173">
        <f t="shared" si="97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5"/>
        <v>-0.27100791953477571</v>
      </c>
      <c r="Y249" s="807">
        <f t="shared" si="86"/>
        <v>-0.13580907561975597</v>
      </c>
    </row>
    <row r="250" spans="1:25" ht="20.100000000000001" customHeight="1" x14ac:dyDescent="0.25">
      <c r="A250" s="163">
        <f t="shared" si="81"/>
        <v>359</v>
      </c>
      <c r="B250" s="172">
        <v>42592</v>
      </c>
      <c r="C250" s="215">
        <v>2175.4899999999998</v>
      </c>
      <c r="D250" s="171">
        <f t="shared" si="79"/>
        <v>-2.9332367809560022E-3</v>
      </c>
      <c r="E250" s="209">
        <f t="shared" si="89"/>
        <v>3.4745343505640937E-2</v>
      </c>
      <c r="F250" s="219">
        <v>5204.58</v>
      </c>
      <c r="G250" s="171">
        <f t="shared" si="73"/>
        <v>-1.8334758943949338E-3</v>
      </c>
      <c r="H250" s="203">
        <f t="shared" si="90"/>
        <v>2.2169412966199915E-2</v>
      </c>
      <c r="I250" s="221">
        <v>354430.79</v>
      </c>
      <c r="J250" s="173">
        <v>400000</v>
      </c>
      <c r="K250" s="173">
        <f t="shared" si="91"/>
        <v>-6361.3500000000349</v>
      </c>
      <c r="L250" s="171">
        <f t="shared" si="98"/>
        <v>-1.7631620245385709E-2</v>
      </c>
      <c r="M250" s="182">
        <f t="shared" si="92"/>
        <v>-45569.210000000021</v>
      </c>
      <c r="N250" s="184">
        <f t="shared" si="88"/>
        <v>-0.11392302500000005</v>
      </c>
      <c r="O250" s="183">
        <f t="shared" si="82"/>
        <v>-0.11590636457172708</v>
      </c>
      <c r="P250" s="182" t="b">
        <f t="shared" si="93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6"/>
        <v>49786.25</v>
      </c>
      <c r="T250" s="173">
        <v>-58573</v>
      </c>
      <c r="U250" s="173">
        <f t="shared" si="97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5"/>
        <v>-0.31436309944786184</v>
      </c>
      <c r="Y250" s="807">
        <f t="shared" si="86"/>
        <v>-0.148668368505641</v>
      </c>
    </row>
    <row r="251" spans="1:25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9"/>
        <v>6.7387117385050311E-3</v>
      </c>
      <c r="E251" s="244">
        <f t="shared" si="89"/>
        <v>4.1718194098285817E-2</v>
      </c>
      <c r="F251" s="245">
        <v>5262.01</v>
      </c>
      <c r="G251" s="171">
        <f t="shared" si="73"/>
        <v>1.1034511910663356E-2</v>
      </c>
      <c r="H251" s="246">
        <f t="shared" si="90"/>
        <v>3.3448553528291222E-2</v>
      </c>
      <c r="I251" s="247">
        <v>368660.8</v>
      </c>
      <c r="J251" s="248">
        <v>400000</v>
      </c>
      <c r="K251" s="248">
        <f t="shared" si="91"/>
        <v>14230.010000000009</v>
      </c>
      <c r="L251" s="171">
        <f t="shared" si="98"/>
        <v>4.0148910313350626E-2</v>
      </c>
      <c r="M251" s="249">
        <f t="shared" si="92"/>
        <v>-31339.200000000012</v>
      </c>
      <c r="N251" s="250">
        <f t="shared" si="88"/>
        <v>-7.8348000000000029E-2</v>
      </c>
      <c r="O251" s="183">
        <f t="shared" si="82"/>
        <v>-7.8617052197802226E-2</v>
      </c>
      <c r="P251" s="249" t="b">
        <f t="shared" si="93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6"/>
        <v>99156</v>
      </c>
      <c r="T251" s="248">
        <v>-45515</v>
      </c>
      <c r="U251" s="248">
        <f t="shared" si="97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5"/>
        <v>-0.21239170199709825</v>
      </c>
      <c r="Y251" s="807">
        <f t="shared" si="86"/>
        <v>-0.12006619409828584</v>
      </c>
    </row>
    <row r="252" spans="1:25" ht="20.100000000000001" customHeight="1" x14ac:dyDescent="0.25">
      <c r="A252" s="163">
        <f t="shared" ref="A252:A276" si="99">B252-$B$2</f>
        <v>365</v>
      </c>
      <c r="B252" s="242">
        <v>42598</v>
      </c>
      <c r="C252" s="243">
        <v>2178.15</v>
      </c>
      <c r="D252" s="171">
        <f t="shared" si="79"/>
        <v>-5.479076775563317E-3</v>
      </c>
      <c r="E252" s="244">
        <f t="shared" si="89"/>
        <v>3.6010540134320139E-2</v>
      </c>
      <c r="F252" s="245">
        <v>5227.1099999999997</v>
      </c>
      <c r="G252" s="171">
        <f t="shared" si="73"/>
        <v>-6.6324465365897338E-3</v>
      </c>
      <c r="H252" s="246">
        <f t="shared" si="90"/>
        <v>2.6594261248698837E-2</v>
      </c>
      <c r="I252" s="247">
        <f>368660.8+2262.39</f>
        <v>370923.19</v>
      </c>
      <c r="J252" s="248">
        <v>400000</v>
      </c>
      <c r="K252" s="248">
        <f t="shared" si="91"/>
        <v>2262.390000000014</v>
      </c>
      <c r="L252" s="171">
        <f t="shared" si="98"/>
        <v>6.1367793917878281E-3</v>
      </c>
      <c r="M252" s="249">
        <f t="shared" si="92"/>
        <v>-29076.809999999998</v>
      </c>
      <c r="N252" s="250">
        <f t="shared" si="88"/>
        <v>-7.2692024999999993E-2</v>
      </c>
      <c r="O252" s="183">
        <f t="shared" si="82"/>
        <v>-7.2741814058219167E-2</v>
      </c>
      <c r="P252" s="249" t="b">
        <f t="shared" si="93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5"/>
        <v>-0.19689033773293813</v>
      </c>
      <c r="Y252" s="807">
        <f t="shared" si="86"/>
        <v>-0.10870256513432014</v>
      </c>
    </row>
    <row r="253" spans="1:25" ht="20.100000000000001" customHeight="1" x14ac:dyDescent="0.25">
      <c r="A253" s="163">
        <f t="shared" si="99"/>
        <v>366</v>
      </c>
      <c r="B253" s="242">
        <v>42599</v>
      </c>
      <c r="C253" s="243">
        <v>2182.2199999999998</v>
      </c>
      <c r="D253" s="171">
        <f t="shared" si="79"/>
        <v>1.8685581801068378E-3</v>
      </c>
      <c r="E253" s="244">
        <f t="shared" si="89"/>
        <v>3.794638610376503E-2</v>
      </c>
      <c r="F253" s="245">
        <v>5228.6499999999996</v>
      </c>
      <c r="G253" s="171">
        <f t="shared" si="73"/>
        <v>2.946178672344687E-4</v>
      </c>
      <c r="H253" s="246">
        <f t="shared" si="90"/>
        <v>2.6896714260463073E-2</v>
      </c>
      <c r="I253" s="247">
        <v>375295.13</v>
      </c>
      <c r="J253" s="248">
        <v>400000</v>
      </c>
      <c r="K253" s="248">
        <f t="shared" si="91"/>
        <v>4371.9400000000023</v>
      </c>
      <c r="L253" s="171">
        <f t="shared" si="98"/>
        <v>1.1786645100296917E-2</v>
      </c>
      <c r="M253" s="249">
        <f t="shared" si="92"/>
        <v>-24704.869999999995</v>
      </c>
      <c r="N253" s="250">
        <f t="shared" si="88"/>
        <v>-6.1762174999999989E-2</v>
      </c>
      <c r="O253" s="183">
        <f t="shared" si="82"/>
        <v>-6.1635613165983594E-2</v>
      </c>
      <c r="P253" s="249" t="b">
        <f t="shared" si="93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100">I253-R253</f>
        <v>120001.53</v>
      </c>
      <c r="T253" s="248">
        <v>-39008</v>
      </c>
      <c r="U253" s="248">
        <f t="shared" ref="U253:U284" si="101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5"/>
        <v>-0.16708300352857525</v>
      </c>
      <c r="Y253" s="807">
        <f t="shared" si="86"/>
        <v>-9.9708561103765025E-2</v>
      </c>
    </row>
    <row r="254" spans="1:25" ht="20.100000000000001" customHeight="1" x14ac:dyDescent="0.25">
      <c r="A254" s="163">
        <f t="shared" si="99"/>
        <v>367</v>
      </c>
      <c r="B254" s="242">
        <v>42600</v>
      </c>
      <c r="C254" s="243">
        <v>2187.02</v>
      </c>
      <c r="D254" s="171">
        <f t="shared" si="79"/>
        <v>2.1995949079378716E-3</v>
      </c>
      <c r="E254" s="244">
        <f t="shared" si="89"/>
        <v>4.0229447689351383E-2</v>
      </c>
      <c r="F254" s="245">
        <v>5240.1400000000003</v>
      </c>
      <c r="G254" s="171">
        <f t="shared" si="73"/>
        <v>2.1975079609460745E-3</v>
      </c>
      <c r="H254" s="246">
        <f t="shared" si="90"/>
        <v>2.9153327965119807E-2</v>
      </c>
      <c r="I254" s="247">
        <v>382262.83</v>
      </c>
      <c r="J254" s="248">
        <v>400000</v>
      </c>
      <c r="K254" s="248">
        <f t="shared" si="91"/>
        <v>6967.7000000000116</v>
      </c>
      <c r="L254" s="171">
        <f t="shared" si="98"/>
        <v>1.8565921705405587E-2</v>
      </c>
      <c r="M254" s="249">
        <f t="shared" ref="M254:M259" si="102">I254-J254</f>
        <v>-17737.169999999984</v>
      </c>
      <c r="N254" s="250">
        <f t="shared" ref="N254:N285" si="103">M254/J254</f>
        <v>-4.4342924999999957E-2</v>
      </c>
      <c r="O254" s="183">
        <f t="shared" si="82"/>
        <v>-4.4131480534741106E-2</v>
      </c>
      <c r="P254" s="249" t="b">
        <f t="shared" si="93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100"/>
        <v>147577.93000000002</v>
      </c>
      <c r="T254" s="248">
        <v>-32026</v>
      </c>
      <c r="U254" s="248">
        <f t="shared" si="101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5"/>
        <v>-0.11972558179033062</v>
      </c>
      <c r="Y254" s="807">
        <f t="shared" si="86"/>
        <v>-8.4572372689351333E-2</v>
      </c>
    </row>
    <row r="255" spans="1:25" ht="20.100000000000001" customHeight="1" x14ac:dyDescent="0.25">
      <c r="A255" s="163">
        <f t="shared" si="99"/>
        <v>368</v>
      </c>
      <c r="B255" s="242">
        <v>42601</v>
      </c>
      <c r="C255" s="243">
        <v>2183.87</v>
      </c>
      <c r="D255" s="171">
        <f t="shared" si="79"/>
        <v>-1.4403160464925291E-3</v>
      </c>
      <c r="E255" s="244">
        <f t="shared" si="89"/>
        <v>3.8731188523810349E-2</v>
      </c>
      <c r="F255" s="245">
        <v>5238.37</v>
      </c>
      <c r="G255" s="171">
        <f t="shared" si="73"/>
        <v>-3.377772349594546E-4</v>
      </c>
      <c r="H255" s="246">
        <f t="shared" si="90"/>
        <v>2.8805703399650426E-2</v>
      </c>
      <c r="I255" s="247">
        <v>382810.75</v>
      </c>
      <c r="J255" s="248">
        <v>400000</v>
      </c>
      <c r="K255" s="248">
        <f t="shared" si="91"/>
        <v>547.9199999999837</v>
      </c>
      <c r="L255" s="171">
        <f t="shared" si="98"/>
        <v>1.4333593459766509E-3</v>
      </c>
      <c r="M255" s="249">
        <f t="shared" si="102"/>
        <v>-17189.25</v>
      </c>
      <c r="N255" s="250">
        <f t="shared" si="103"/>
        <v>-4.2973125000000001E-2</v>
      </c>
      <c r="O255" s="183">
        <f t="shared" si="82"/>
        <v>-4.265199431046196E-2</v>
      </c>
      <c r="P255" s="249" t="b">
        <f t="shared" si="93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100"/>
        <v>149847.75</v>
      </c>
      <c r="T255" s="248">
        <v>-31491</v>
      </c>
      <c r="U255" s="248">
        <f t="shared" si="101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5"/>
        <v>-0.11594170595354422</v>
      </c>
      <c r="Y255" s="807">
        <f t="shared" si="86"/>
        <v>-8.1704313523810357E-2</v>
      </c>
    </row>
    <row r="256" spans="1:25" ht="20.100000000000001" customHeight="1" x14ac:dyDescent="0.25">
      <c r="A256" s="163">
        <f t="shared" si="99"/>
        <v>371</v>
      </c>
      <c r="B256" s="172">
        <v>42604</v>
      </c>
      <c r="C256" s="215">
        <v>2182.64</v>
      </c>
      <c r="D256" s="171">
        <f t="shared" si="79"/>
        <v>-5.6322033820695291E-4</v>
      </c>
      <c r="E256" s="209">
        <f t="shared" ref="E256:E287" si="104">(C256-$C$2)/$C$2</f>
        <v>3.8146153992503859E-2</v>
      </c>
      <c r="F256" s="219">
        <v>5244.6</v>
      </c>
      <c r="G256" s="171">
        <f t="shared" ref="G256:G261" si="105">(F256-F255)/F255</f>
        <v>1.1893012521071388E-3</v>
      </c>
      <c r="H256" s="203">
        <f t="shared" ref="H256:H287" si="106">(F256-F$2)/F$2</f>
        <v>3.0029263310878598E-2</v>
      </c>
      <c r="I256" s="221">
        <v>377083.42</v>
      </c>
      <c r="J256" s="173">
        <v>400000</v>
      </c>
      <c r="K256" s="173">
        <f t="shared" ref="K256:K287" si="107">I256-I255-J256+J255</f>
        <v>-5727.3300000000163</v>
      </c>
      <c r="L256" s="171">
        <f t="shared" si="98"/>
        <v>-1.4961256965746171E-2</v>
      </c>
      <c r="M256" s="182">
        <f t="shared" si="102"/>
        <v>-22916.580000000016</v>
      </c>
      <c r="N256" s="184">
        <f t="shared" si="103"/>
        <v>-5.7291450000000042E-2</v>
      </c>
      <c r="O256" s="183">
        <f t="shared" si="82"/>
        <v>-5.6403509737196808E-2</v>
      </c>
      <c r="P256" s="182" t="b">
        <f t="shared" ref="P256:P287" si="108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100"/>
        <v>121841.31999999998</v>
      </c>
      <c r="T256" s="173">
        <v>-37372</v>
      </c>
      <c r="U256" s="173">
        <f t="shared" si="101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5"/>
        <v>-0.15349233184444946</v>
      </c>
      <c r="Y256" s="807">
        <f t="shared" si="86"/>
        <v>-9.5437603992503894E-2</v>
      </c>
    </row>
    <row r="257" spans="1:25" ht="20.100000000000001" customHeight="1" x14ac:dyDescent="0.25">
      <c r="A257" s="163">
        <f t="shared" si="99"/>
        <v>372</v>
      </c>
      <c r="B257" s="172">
        <v>42605</v>
      </c>
      <c r="C257" s="215">
        <v>2186.9</v>
      </c>
      <c r="D257" s="171">
        <f t="shared" ref="D257:D263" si="109">(C257-C256)/C256</f>
        <v>1.951764835245491E-3</v>
      </c>
      <c r="E257" s="209">
        <f t="shared" si="104"/>
        <v>4.0172371149711783E-2</v>
      </c>
      <c r="F257" s="219">
        <v>5260.07</v>
      </c>
      <c r="G257" s="171">
        <f t="shared" si="105"/>
        <v>2.9497006444722845E-3</v>
      </c>
      <c r="H257" s="203">
        <f t="shared" si="106"/>
        <v>3.3067541292692008E-2</v>
      </c>
      <c r="I257" s="221">
        <v>383610.05</v>
      </c>
      <c r="J257" s="173">
        <v>400000</v>
      </c>
      <c r="K257" s="173">
        <f t="shared" si="107"/>
        <v>6526.6300000000047</v>
      </c>
      <c r="L257" s="171">
        <f t="shared" si="98"/>
        <v>1.7308186077234593E-2</v>
      </c>
      <c r="M257" s="182">
        <f t="shared" si="102"/>
        <v>-16389.950000000012</v>
      </c>
      <c r="N257" s="184">
        <f t="shared" si="103"/>
        <v>-4.0974875000000029E-2</v>
      </c>
      <c r="O257" s="183">
        <f t="shared" si="82"/>
        <v>-4.023137928427422E-2</v>
      </c>
      <c r="P257" s="182" t="b">
        <f t="shared" si="108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100"/>
        <v>146280.65</v>
      </c>
      <c r="T257" s="173">
        <v>-30977</v>
      </c>
      <c r="U257" s="173">
        <f t="shared" si="101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5"/>
        <v>-0.10958381571512156</v>
      </c>
      <c r="Y257" s="807">
        <f t="shared" si="86"/>
        <v>-8.1147246149711805E-2</v>
      </c>
    </row>
    <row r="258" spans="1:25" ht="20.100000000000001" customHeight="1" x14ac:dyDescent="0.25">
      <c r="A258" s="163">
        <f t="shared" si="99"/>
        <v>373</v>
      </c>
      <c r="B258" s="172">
        <v>42606</v>
      </c>
      <c r="C258" s="215">
        <v>2175.44</v>
      </c>
      <c r="D258" s="171">
        <f t="shared" si="109"/>
        <v>-5.2402944807718854E-3</v>
      </c>
      <c r="E258" s="209">
        <f t="shared" si="104"/>
        <v>3.4721561614124541E-2</v>
      </c>
      <c r="F258" s="219">
        <v>5217.6899999999996</v>
      </c>
      <c r="G258" s="171">
        <f t="shared" si="105"/>
        <v>-8.0569269990703758E-3</v>
      </c>
      <c r="H258" s="203">
        <f t="shared" si="106"/>
        <v>2.4744191527387667E-2</v>
      </c>
      <c r="I258" s="221">
        <f>379998.45+9.8</f>
        <v>380008.25</v>
      </c>
      <c r="J258" s="173">
        <v>400000</v>
      </c>
      <c r="K258" s="173">
        <f t="shared" si="107"/>
        <v>-3601.7999999999884</v>
      </c>
      <c r="L258" s="171">
        <f t="shared" si="98"/>
        <v>-9.3892222062482156E-3</v>
      </c>
      <c r="M258" s="182">
        <f t="shared" si="102"/>
        <v>-19991.75</v>
      </c>
      <c r="N258" s="184">
        <f t="shared" si="103"/>
        <v>-4.9979374999999999E-2</v>
      </c>
      <c r="O258" s="183">
        <f t="shared" si="82"/>
        <v>-4.894092954088472E-2</v>
      </c>
      <c r="P258" s="182" t="b">
        <f t="shared" si="108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100"/>
        <v>146290.45000000001</v>
      </c>
      <c r="T258" s="173">
        <v>-34657</v>
      </c>
      <c r="U258" s="173">
        <f t="shared" si="101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5"/>
        <v>-0.13352185434946193</v>
      </c>
      <c r="Y258" s="807">
        <f t="shared" si="86"/>
        <v>-8.4700936614124533E-2</v>
      </c>
    </row>
    <row r="259" spans="1:25" ht="20.100000000000001" customHeight="1" x14ac:dyDescent="0.25">
      <c r="A259" s="163">
        <f t="shared" si="99"/>
        <v>374</v>
      </c>
      <c r="B259" s="172">
        <v>42607</v>
      </c>
      <c r="C259" s="215">
        <v>2172.4699999999998</v>
      </c>
      <c r="D259" s="171">
        <f t="shared" si="109"/>
        <v>-1.3652410546833075E-3</v>
      </c>
      <c r="E259" s="209">
        <f t="shared" si="104"/>
        <v>3.3308917258042914E-2</v>
      </c>
      <c r="F259" s="219">
        <v>5212.2</v>
      </c>
      <c r="G259" s="171">
        <f t="shared" si="105"/>
        <v>-1.0521897621360759E-3</v>
      </c>
      <c r="H259" s="203">
        <f t="shared" si="106"/>
        <v>2.3665966180254142E-2</v>
      </c>
      <c r="I259" s="221">
        <v>380752.59</v>
      </c>
      <c r="J259" s="173">
        <v>400000</v>
      </c>
      <c r="K259" s="173">
        <f t="shared" si="107"/>
        <v>744.34000000002561</v>
      </c>
      <c r="L259" s="171">
        <f t="shared" si="98"/>
        <v>1.9587469482571116E-3</v>
      </c>
      <c r="M259" s="182">
        <f t="shared" si="102"/>
        <v>-19247.409999999974</v>
      </c>
      <c r="N259" s="184">
        <f t="shared" si="103"/>
        <v>-4.8118524999999933E-2</v>
      </c>
      <c r="O259" s="183">
        <f t="shared" si="82"/>
        <v>-4.6992757369652347E-2</v>
      </c>
      <c r="P259" s="182" t="b">
        <f t="shared" si="108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100"/>
        <v>143453.21000000002</v>
      </c>
      <c r="T259" s="173">
        <v>-33721</v>
      </c>
      <c r="U259" s="173">
        <f t="shared" si="101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5"/>
        <v>-0.12845683950457279</v>
      </c>
      <c r="Y259" s="807">
        <f t="shared" si="86"/>
        <v>-8.1427442258042854E-2</v>
      </c>
    </row>
    <row r="260" spans="1:25" ht="20.100000000000001" customHeight="1" x14ac:dyDescent="0.25">
      <c r="A260" s="163">
        <f t="shared" si="99"/>
        <v>375</v>
      </c>
      <c r="B260" s="172">
        <v>42608</v>
      </c>
      <c r="C260" s="215">
        <v>2169.04</v>
      </c>
      <c r="D260" s="171">
        <f t="shared" si="109"/>
        <v>-1.578848039328431E-3</v>
      </c>
      <c r="E260" s="209">
        <f t="shared" si="104"/>
        <v>3.1677479500009466E-2</v>
      </c>
      <c r="F260" s="219">
        <v>5218.91</v>
      </c>
      <c r="G260" s="171">
        <f t="shared" si="105"/>
        <v>1.2873642607728092E-3</v>
      </c>
      <c r="H260" s="203">
        <f t="shared" si="106"/>
        <v>2.4983797160084066E-2</v>
      </c>
      <c r="I260" s="221">
        <v>381100.52</v>
      </c>
      <c r="J260" s="173">
        <v>400000</v>
      </c>
      <c r="K260" s="173">
        <f t="shared" si="107"/>
        <v>347.92999999999302</v>
      </c>
      <c r="L260" s="171">
        <f t="shared" si="98"/>
        <v>9.1379549118757934E-4</v>
      </c>
      <c r="M260" s="182">
        <f t="shared" ref="M260:M273" si="110">I260-J260</f>
        <v>-18899.479999999981</v>
      </c>
      <c r="N260" s="184">
        <f t="shared" si="103"/>
        <v>-4.7248699999999956E-2</v>
      </c>
      <c r="O260" s="183">
        <f t="shared" si="82"/>
        <v>-4.6020233799999963E-2</v>
      </c>
      <c r="P260" s="182" t="b">
        <f t="shared" si="108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100"/>
        <v>122146.22000000003</v>
      </c>
      <c r="T260" s="173">
        <v>-33067</v>
      </c>
      <c r="U260" s="173">
        <f t="shared" si="101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5"/>
        <v>-0.12604375613829913</v>
      </c>
      <c r="Y260" s="807">
        <f t="shared" si="86"/>
        <v>-7.8926179500009422E-2</v>
      </c>
    </row>
    <row r="261" spans="1:25" ht="20.100000000000001" customHeight="1" x14ac:dyDescent="0.25">
      <c r="A261" s="163">
        <f t="shared" si="99"/>
        <v>378</v>
      </c>
      <c r="B261" s="242">
        <v>42611</v>
      </c>
      <c r="C261" s="243">
        <v>2180.38</v>
      </c>
      <c r="D261" s="171">
        <f t="shared" si="109"/>
        <v>5.2281193523402731E-3</v>
      </c>
      <c r="E261" s="244">
        <f t="shared" si="104"/>
        <v>3.7071212495957101E-2</v>
      </c>
      <c r="F261" s="245">
        <v>5232.32</v>
      </c>
      <c r="G261" s="171">
        <f t="shared" si="105"/>
        <v>2.569502060775115E-3</v>
      </c>
      <c r="H261" s="246">
        <f t="shared" si="106"/>
        <v>2.7617495139148004E-2</v>
      </c>
      <c r="I261" s="247">
        <v>382828.93</v>
      </c>
      <c r="J261" s="248">
        <v>400000</v>
      </c>
      <c r="K261" s="248">
        <f t="shared" si="107"/>
        <v>1728.4099999999744</v>
      </c>
      <c r="L261" s="171">
        <f>K261/I260</f>
        <v>4.5353126256557569E-3</v>
      </c>
      <c r="M261" s="249">
        <f t="shared" si="110"/>
        <v>-17171.070000000007</v>
      </c>
      <c r="N261" s="250">
        <f t="shared" si="103"/>
        <v>-4.2927675000000019E-2</v>
      </c>
      <c r="O261" s="183">
        <f t="shared" si="82"/>
        <v>-4.147971770833335E-2</v>
      </c>
      <c r="P261" s="249" t="b">
        <f t="shared" si="108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100"/>
        <v>122528.60999999999</v>
      </c>
      <c r="T261" s="248">
        <v>-31777</v>
      </c>
      <c r="U261" s="248">
        <f t="shared" si="101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5"/>
        <v>-0.11382164476139263</v>
      </c>
      <c r="Y261" s="807">
        <f t="shared" si="86"/>
        <v>-7.9998887495957127E-2</v>
      </c>
    </row>
    <row r="262" spans="1:25" ht="20.100000000000001" customHeight="1" x14ac:dyDescent="0.25">
      <c r="A262" s="163">
        <f t="shared" si="99"/>
        <v>379</v>
      </c>
      <c r="B262" s="242">
        <v>42612</v>
      </c>
      <c r="C262" s="243">
        <v>2176.12</v>
      </c>
      <c r="D262" s="171">
        <f t="shared" si="109"/>
        <v>-1.9537878718389537E-3</v>
      </c>
      <c r="E262" s="244">
        <f t="shared" si="104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6"/>
        <v>2.5783137262603797E-2</v>
      </c>
      <c r="I262" s="247">
        <v>379406.56</v>
      </c>
      <c r="J262" s="248">
        <v>400000</v>
      </c>
      <c r="K262" s="248">
        <f t="shared" si="107"/>
        <v>-3422.3699999999953</v>
      </c>
      <c r="L262" s="171">
        <f>K262/I261</f>
        <v>-8.9396848874508921E-3</v>
      </c>
      <c r="M262" s="249">
        <f t="shared" si="110"/>
        <v>-20593.440000000002</v>
      </c>
      <c r="N262" s="250">
        <f t="shared" si="103"/>
        <v>-5.1483600000000004E-2</v>
      </c>
      <c r="O262" s="183">
        <f t="shared" si="82"/>
        <v>-4.9615791292875994E-2</v>
      </c>
      <c r="P262" s="249" t="b">
        <f t="shared" si="108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100"/>
        <v>104437.60999999999</v>
      </c>
      <c r="T262" s="248">
        <v>-35414</v>
      </c>
      <c r="U262" s="248">
        <f t="shared" si="101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5"/>
        <v>-0.13636683503481539</v>
      </c>
      <c r="Y262" s="807">
        <f t="shared" si="86"/>
        <v>-8.6528595338749181E-2</v>
      </c>
    </row>
    <row r="263" spans="1:25" ht="20.100000000000001" customHeight="1" x14ac:dyDescent="0.25">
      <c r="A263" s="163">
        <f t="shared" si="99"/>
        <v>380</v>
      </c>
      <c r="B263" s="242">
        <v>42613</v>
      </c>
      <c r="C263" s="243">
        <v>2170.94</v>
      </c>
      <c r="D263" s="171">
        <f t="shared" si="109"/>
        <v>-2.3803834347369797E-3</v>
      </c>
      <c r="E263" s="244">
        <f t="shared" si="104"/>
        <v>3.258119137763741E-2</v>
      </c>
      <c r="F263" s="245">
        <v>5213.22</v>
      </c>
      <c r="G263" s="171">
        <f t="shared" ref="G263:G270" si="111">(F263-F262)/F262</f>
        <v>-1.8686650149913094E-3</v>
      </c>
      <c r="H263" s="246">
        <f t="shared" si="106"/>
        <v>2.3866292201033139E-2</v>
      </c>
      <c r="I263" s="471">
        <v>375078.22</v>
      </c>
      <c r="J263" s="248">
        <v>400000</v>
      </c>
      <c r="K263" s="248">
        <f t="shared" si="107"/>
        <v>-4328.3400000000256</v>
      </c>
      <c r="L263" s="171">
        <f>K263/I262</f>
        <v>-1.1408184402504863E-2</v>
      </c>
      <c r="M263" s="249">
        <f t="shared" si="110"/>
        <v>-24921.780000000028</v>
      </c>
      <c r="N263" s="250">
        <f t="shared" si="103"/>
        <v>-6.2304450000000067E-2</v>
      </c>
      <c r="O263" s="183">
        <f t="shared" ref="O263:O326" si="112">N263/(A263/365.25)</f>
        <v>-5.9886053585526386E-2</v>
      </c>
      <c r="P263" s="249" t="b">
        <f t="shared" si="108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100"/>
        <v>89275.109999999986</v>
      </c>
      <c r="T263" s="248">
        <v>-39480</v>
      </c>
      <c r="U263" s="248">
        <f t="shared" si="101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5"/>
        <v>-0.1648273162264661</v>
      </c>
      <c r="Y263" s="807">
        <f t="shared" si="86"/>
        <v>-9.488564137763747E-2</v>
      </c>
    </row>
    <row r="264" spans="1:25" ht="20.100000000000001" customHeight="1" x14ac:dyDescent="0.25">
      <c r="A264" s="163">
        <f t="shared" si="99"/>
        <v>381</v>
      </c>
      <c r="B264" s="242">
        <v>42614</v>
      </c>
      <c r="C264" s="243">
        <v>2170.86</v>
      </c>
      <c r="D264" s="171">
        <f t="shared" ref="D264:D270" si="113">(C264-C263)/C263</f>
        <v>-3.6850396602359916E-5</v>
      </c>
      <c r="E264" s="244">
        <f t="shared" si="104"/>
        <v>3.254314035121101E-2</v>
      </c>
      <c r="F264" s="245">
        <v>5227.2</v>
      </c>
      <c r="G264" s="171">
        <f t="shared" si="111"/>
        <v>2.6816439743574151E-3</v>
      </c>
      <c r="H264" s="246">
        <f t="shared" si="106"/>
        <v>2.661193707406171E-2</v>
      </c>
      <c r="I264" s="247">
        <v>374158.47</v>
      </c>
      <c r="J264" s="248">
        <v>400000</v>
      </c>
      <c r="K264" s="248">
        <f t="shared" si="107"/>
        <v>-919.75</v>
      </c>
      <c r="L264" s="171">
        <f t="shared" ref="L264:L269" si="114">K264/I263</f>
        <v>-2.4521551797915646E-3</v>
      </c>
      <c r="M264" s="249">
        <f t="shared" si="110"/>
        <v>-25841.530000000028</v>
      </c>
      <c r="N264" s="250">
        <f t="shared" si="103"/>
        <v>-6.4603825000000073E-2</v>
      </c>
      <c r="O264" s="183">
        <f t="shared" si="112"/>
        <v>-6.1933194438976449E-2</v>
      </c>
      <c r="P264" s="249" t="b">
        <f t="shared" si="108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100"/>
        <v>89365.339999999967</v>
      </c>
      <c r="T264" s="248">
        <v>-40089</v>
      </c>
      <c r="U264" s="248">
        <f t="shared" si="101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5"/>
        <v>-0.17078428474787347</v>
      </c>
      <c r="Y264" s="807">
        <f t="shared" si="86"/>
        <v>-9.714696535121109E-2</v>
      </c>
    </row>
    <row r="265" spans="1:25" ht="20.100000000000001" customHeight="1" x14ac:dyDescent="0.25">
      <c r="A265" s="163">
        <f t="shared" si="99"/>
        <v>382</v>
      </c>
      <c r="B265" s="242">
        <v>42615</v>
      </c>
      <c r="C265" s="243">
        <v>2179.98</v>
      </c>
      <c r="D265" s="171">
        <f t="shared" si="113"/>
        <v>4.2011000248748835E-3</v>
      </c>
      <c r="E265" s="244">
        <f t="shared" si="104"/>
        <v>3.6880957363824872E-2</v>
      </c>
      <c r="F265" s="245">
        <v>5249.89</v>
      </c>
      <c r="G265" s="171">
        <f t="shared" si="111"/>
        <v>4.3407560453015978E-3</v>
      </c>
      <c r="H265" s="246">
        <f t="shared" si="106"/>
        <v>3.1068209046094725E-2</v>
      </c>
      <c r="I265" s="247">
        <v>379833.49</v>
      </c>
      <c r="J265" s="248">
        <v>400000</v>
      </c>
      <c r="K265" s="248">
        <f t="shared" si="107"/>
        <v>5675.0200000000186</v>
      </c>
      <c r="L265" s="171">
        <f t="shared" si="114"/>
        <v>1.5167423578570916E-2</v>
      </c>
      <c r="M265" s="249">
        <f t="shared" si="110"/>
        <v>-20166.510000000009</v>
      </c>
      <c r="N265" s="250">
        <f t="shared" si="103"/>
        <v>-5.0416275000000024E-2</v>
      </c>
      <c r="O265" s="183">
        <f t="shared" si="112"/>
        <v>-4.8205613727094261E-2</v>
      </c>
      <c r="P265" s="249" t="b">
        <f t="shared" si="108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100"/>
        <v>99917.919999999984</v>
      </c>
      <c r="T265" s="248">
        <v>-35299</v>
      </c>
      <c r="U265" s="248">
        <f t="shared" si="101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5"/>
        <v>-0.13307743971835154</v>
      </c>
      <c r="Y265" s="807">
        <f t="shared" si="86"/>
        <v>-8.7297232363824889E-2</v>
      </c>
    </row>
    <row r="266" spans="1:25" ht="20.100000000000001" customHeight="1" x14ac:dyDescent="0.25">
      <c r="A266" s="163">
        <f t="shared" si="99"/>
        <v>386</v>
      </c>
      <c r="B266" s="172">
        <v>42619</v>
      </c>
      <c r="C266" s="215">
        <v>2186.48</v>
      </c>
      <c r="D266" s="171">
        <f t="shared" si="113"/>
        <v>2.9816787309975322E-3</v>
      </c>
      <c r="E266" s="209">
        <f t="shared" si="104"/>
        <v>3.9972603260972947E-2</v>
      </c>
      <c r="F266" s="219">
        <v>5275.9</v>
      </c>
      <c r="G266" s="171">
        <f t="shared" si="111"/>
        <v>4.9543895205422031E-3</v>
      </c>
      <c r="H266" s="203">
        <f t="shared" si="106"/>
        <v>3.6176522575956917E-2</v>
      </c>
      <c r="I266" s="221">
        <v>382927.8</v>
      </c>
      <c r="J266" s="173">
        <v>400000</v>
      </c>
      <c r="K266" s="173">
        <f t="shared" si="107"/>
        <v>3094.3099999999977</v>
      </c>
      <c r="L266" s="171">
        <f t="shared" si="114"/>
        <v>8.1464907162346265E-3</v>
      </c>
      <c r="M266" s="182">
        <f t="shared" si="110"/>
        <v>-17072.200000000012</v>
      </c>
      <c r="N266" s="184">
        <f t="shared" si="103"/>
        <v>-4.2680500000000031E-2</v>
      </c>
      <c r="O266" s="183">
        <f t="shared" si="112"/>
        <v>-4.0386146696891223E-2</v>
      </c>
      <c r="P266" s="182" t="b">
        <f t="shared" si="108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100"/>
        <v>94604.13</v>
      </c>
      <c r="T266" s="173">
        <v>-32869</v>
      </c>
      <c r="U266" s="173">
        <f t="shared" si="101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5"/>
        <v>-0.11167905005743611</v>
      </c>
      <c r="Y266" s="807">
        <f t="shared" si="86"/>
        <v>-8.2653103260972971E-2</v>
      </c>
    </row>
    <row r="267" spans="1:25" ht="20.100000000000001" customHeight="1" x14ac:dyDescent="0.25">
      <c r="A267" s="163">
        <f t="shared" si="99"/>
        <v>387</v>
      </c>
      <c r="B267" s="172">
        <v>42620</v>
      </c>
      <c r="C267" s="215">
        <v>2186.16</v>
      </c>
      <c r="D267" s="171">
        <f t="shared" si="113"/>
        <v>-1.4635395704518849E-4</v>
      </c>
      <c r="E267" s="209">
        <f t="shared" si="104"/>
        <v>3.9820399155267118E-2</v>
      </c>
      <c r="F267" s="219">
        <v>5283.92</v>
      </c>
      <c r="G267" s="171">
        <f t="shared" si="111"/>
        <v>1.5201197899885209E-3</v>
      </c>
      <c r="H267" s="203">
        <f t="shared" si="106"/>
        <v>3.7751635013846117E-2</v>
      </c>
      <c r="I267" s="221">
        <v>386953.84</v>
      </c>
      <c r="J267" s="173">
        <v>400000</v>
      </c>
      <c r="K267" s="173">
        <f t="shared" si="107"/>
        <v>4026.0400000000373</v>
      </c>
      <c r="L267" s="171">
        <f t="shared" si="114"/>
        <v>1.0513835767473757E-2</v>
      </c>
      <c r="M267" s="182">
        <f t="shared" si="110"/>
        <v>-13046.159999999974</v>
      </c>
      <c r="N267" s="184">
        <f t="shared" si="103"/>
        <v>-3.2615399999999933E-2</v>
      </c>
      <c r="O267" s="183">
        <f t="shared" si="112"/>
        <v>-3.0782363953488309E-2</v>
      </c>
      <c r="P267" s="182" t="b">
        <f t="shared" si="108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100"/>
        <v>116356.47000000003</v>
      </c>
      <c r="T267" s="173">
        <v>-29682</v>
      </c>
      <c r="U267" s="173">
        <f t="shared" si="101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5"/>
        <v>-8.5252025733191322E-2</v>
      </c>
      <c r="Y267" s="807">
        <f t="shared" si="86"/>
        <v>-7.2435799155267044E-2</v>
      </c>
    </row>
    <row r="268" spans="1:25" ht="20.100000000000001" customHeight="1" x14ac:dyDescent="0.25">
      <c r="A268" s="163">
        <f t="shared" si="99"/>
        <v>388</v>
      </c>
      <c r="B268" s="172">
        <v>42621</v>
      </c>
      <c r="C268" s="215">
        <v>2181.3000000000002</v>
      </c>
      <c r="D268" s="171">
        <f t="shared" si="113"/>
        <v>-2.2230760786034294E-3</v>
      </c>
      <c r="E268" s="209">
        <f t="shared" si="104"/>
        <v>3.7508799299861173E-2</v>
      </c>
      <c r="F268" s="219">
        <v>5259.48</v>
      </c>
      <c r="G268" s="171">
        <f t="shared" si="111"/>
        <v>-4.6253539039199133E-3</v>
      </c>
      <c r="H268" s="203">
        <f t="shared" si="106"/>
        <v>3.2951666437535547E-2</v>
      </c>
      <c r="I268" s="221">
        <v>397118.13</v>
      </c>
      <c r="J268" s="173">
        <v>400000</v>
      </c>
      <c r="K268" s="173">
        <f t="shared" si="107"/>
        <v>10164.289999999979</v>
      </c>
      <c r="L268" s="171">
        <f t="shared" si="114"/>
        <v>2.6267448334405929E-2</v>
      </c>
      <c r="M268" s="182">
        <f t="shared" si="110"/>
        <v>-2881.8699999999953</v>
      </c>
      <c r="N268" s="184">
        <f t="shared" si="103"/>
        <v>-7.2046749999999885E-3</v>
      </c>
      <c r="O268" s="183">
        <f t="shared" si="112"/>
        <v>-6.7822359374999901E-3</v>
      </c>
      <c r="P268" s="182" t="b">
        <f t="shared" si="108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100"/>
        <v>145938.43</v>
      </c>
      <c r="T268" s="173">
        <v>-22549</v>
      </c>
      <c r="U268" s="173">
        <f t="shared" si="101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5"/>
        <v>-1.8773537049167073E-2</v>
      </c>
      <c r="Y268" s="807">
        <f t="shared" si="86"/>
        <v>-4.471347429986116E-2</v>
      </c>
    </row>
    <row r="269" spans="1:25" ht="20.100000000000001" customHeight="1" x14ac:dyDescent="0.25">
      <c r="A269" s="163">
        <f t="shared" si="99"/>
        <v>389</v>
      </c>
      <c r="B269" s="172">
        <v>42622</v>
      </c>
      <c r="C269" s="215">
        <v>2127.81</v>
      </c>
      <c r="D269" s="171">
        <f t="shared" si="113"/>
        <v>-2.4522073992573341E-2</v>
      </c>
      <c r="E269" s="209">
        <f t="shared" si="104"/>
        <v>1.2066931755484052E-2</v>
      </c>
      <c r="F269" s="219">
        <v>5125.8999999999996</v>
      </c>
      <c r="G269" s="171">
        <f t="shared" si="111"/>
        <v>-2.5397948086122571E-2</v>
      </c>
      <c r="H269" s="203">
        <f t="shared" si="106"/>
        <v>6.7168136378812221E-3</v>
      </c>
      <c r="I269" s="221">
        <v>386211.32</v>
      </c>
      <c r="J269" s="173">
        <v>400000</v>
      </c>
      <c r="K269" s="173">
        <f t="shared" si="107"/>
        <v>-10906.809999999998</v>
      </c>
      <c r="L269" s="171">
        <f t="shared" si="114"/>
        <v>-2.746490068333067E-2</v>
      </c>
      <c r="M269" s="182">
        <f t="shared" si="110"/>
        <v>-13788.679999999993</v>
      </c>
      <c r="N269" s="184">
        <f t="shared" si="103"/>
        <v>-3.447169999999998E-2</v>
      </c>
      <c r="O269" s="183">
        <f t="shared" si="112"/>
        <v>-3.2367065359897154E-2</v>
      </c>
      <c r="P269" s="182" t="b">
        <f t="shared" si="108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100"/>
        <v>109868.35999999999</v>
      </c>
      <c r="T269" s="173">
        <v>-29111</v>
      </c>
      <c r="U269" s="173">
        <f t="shared" si="101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5"/>
        <v>-8.9507253067199047E-2</v>
      </c>
      <c r="Y269" s="807">
        <f t="shared" si="86"/>
        <v>-4.6538631755484033E-2</v>
      </c>
    </row>
    <row r="270" spans="1:25" ht="20.100000000000001" customHeight="1" x14ac:dyDescent="0.25">
      <c r="A270" s="163">
        <f t="shared" si="99"/>
        <v>392</v>
      </c>
      <c r="B270" s="242">
        <v>42625</v>
      </c>
      <c r="C270" s="243">
        <v>2159.04</v>
      </c>
      <c r="D270" s="171">
        <f t="shared" si="113"/>
        <v>1.4677062331693158E-2</v>
      </c>
      <c r="E270" s="244">
        <f t="shared" si="104"/>
        <v>2.6921101196704739E-2</v>
      </c>
      <c r="F270" s="245">
        <v>5211.88</v>
      </c>
      <c r="G270" s="171">
        <f t="shared" si="111"/>
        <v>1.6773639751068197E-2</v>
      </c>
      <c r="H270" s="246">
        <f t="shared" si="106"/>
        <v>2.3603118801186301E-2</v>
      </c>
      <c r="I270" s="247">
        <v>387052.15</v>
      </c>
      <c r="J270" s="248">
        <v>400000</v>
      </c>
      <c r="K270" s="248">
        <f t="shared" si="107"/>
        <v>840.8300000000163</v>
      </c>
      <c r="L270" s="171">
        <f t="shared" ref="L270:L285" si="115">K270/I269</f>
        <v>2.1771241712956945E-3</v>
      </c>
      <c r="M270" s="249">
        <f t="shared" si="110"/>
        <v>-12947.849999999977</v>
      </c>
      <c r="N270" s="250">
        <f t="shared" si="103"/>
        <v>-3.2369624999999944E-2</v>
      </c>
      <c r="O270" s="183">
        <f t="shared" si="112"/>
        <v>-3.0160728396045867E-2</v>
      </c>
      <c r="P270" s="249" t="b">
        <f t="shared" si="108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100"/>
        <v>107362.09000000003</v>
      </c>
      <c r="T270" s="248">
        <v>-29688</v>
      </c>
      <c r="U270" s="248">
        <f t="shared" si="101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5"/>
        <v>-8.3561648506023864E-2</v>
      </c>
      <c r="Y270" s="807">
        <f t="shared" si="86"/>
        <v>-5.9290726196704682E-2</v>
      </c>
    </row>
    <row r="271" spans="1:25" ht="20.100000000000001" customHeight="1" x14ac:dyDescent="0.25">
      <c r="A271" s="163">
        <f t="shared" si="99"/>
        <v>393</v>
      </c>
      <c r="B271" s="242">
        <v>42626</v>
      </c>
      <c r="C271" s="243">
        <v>2127.02</v>
      </c>
      <c r="D271" s="171">
        <f t="shared" ref="D271:D285" si="116">(C271-C270)/C270</f>
        <v>-1.483066548095449E-2</v>
      </c>
      <c r="E271" s="244">
        <f t="shared" si="104"/>
        <v>1.1691177869522996E-2</v>
      </c>
      <c r="F271" s="245">
        <v>5155.25</v>
      </c>
      <c r="G271" s="171">
        <f t="shared" ref="G271:G285" si="117">(F271-F270)/F270</f>
        <v>-1.0865560987589911E-2</v>
      </c>
      <c r="H271" s="246">
        <f t="shared" si="106"/>
        <v>1.2481096686764771E-2</v>
      </c>
      <c r="I271" s="247">
        <v>374259.41</v>
      </c>
      <c r="J271" s="248">
        <v>400000</v>
      </c>
      <c r="K271" s="248">
        <f t="shared" si="107"/>
        <v>-12792.740000000049</v>
      </c>
      <c r="L271" s="171">
        <f t="shared" si="115"/>
        <v>-3.3051721841617594E-2</v>
      </c>
      <c r="M271" s="249">
        <f t="shared" si="110"/>
        <v>-25740.590000000026</v>
      </c>
      <c r="N271" s="250">
        <f t="shared" si="103"/>
        <v>-6.4351475000000061E-2</v>
      </c>
      <c r="O271" s="183">
        <f t="shared" si="112"/>
        <v>-5.9807573139313036E-2</v>
      </c>
      <c r="P271" s="249" t="b">
        <f t="shared" si="108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100"/>
        <v>79451.889999999956</v>
      </c>
      <c r="T271" s="248">
        <v>-40449</v>
      </c>
      <c r="U271" s="248">
        <f t="shared" si="101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5"/>
        <v>-0.16533998131736136</v>
      </c>
      <c r="Y271" s="807">
        <f t="shared" si="86"/>
        <v>-7.6042652869523053E-2</v>
      </c>
    </row>
    <row r="272" spans="1:25" ht="20.100000000000001" customHeight="1" x14ac:dyDescent="0.25">
      <c r="A272" s="163">
        <f t="shared" si="99"/>
        <v>394</v>
      </c>
      <c r="B272" s="242">
        <v>42627</v>
      </c>
      <c r="C272" s="243">
        <v>2125.77</v>
      </c>
      <c r="D272" s="171">
        <f t="shared" si="116"/>
        <v>-5.8767665560267412E-4</v>
      </c>
      <c r="E272" s="244">
        <f t="shared" si="104"/>
        <v>1.1096630581609904E-2</v>
      </c>
      <c r="F272" s="245">
        <v>5173.7700000000004</v>
      </c>
      <c r="G272" s="171">
        <f t="shared" si="117"/>
        <v>3.5924542941662258E-3</v>
      </c>
      <c r="H272" s="246">
        <f t="shared" si="106"/>
        <v>1.6118388750319269E-2</v>
      </c>
      <c r="I272" s="247">
        <v>370693.02</v>
      </c>
      <c r="J272" s="248">
        <v>400000</v>
      </c>
      <c r="K272" s="248">
        <f t="shared" si="107"/>
        <v>-3566.3899999999558</v>
      </c>
      <c r="L272" s="171">
        <f t="shared" si="115"/>
        <v>-9.5291925993255741E-3</v>
      </c>
      <c r="M272" s="249">
        <f t="shared" si="110"/>
        <v>-29306.979999999981</v>
      </c>
      <c r="N272" s="250">
        <f t="shared" si="103"/>
        <v>-7.3267449999999956E-2</v>
      </c>
      <c r="O272" s="183">
        <f t="shared" si="112"/>
        <v>-6.7921157645939048E-2</v>
      </c>
      <c r="P272" s="249" t="b">
        <f t="shared" si="108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100"/>
        <v>66526.590000000026</v>
      </c>
      <c r="T272" s="248">
        <v>-43966</v>
      </c>
      <c r="U272" s="248">
        <f t="shared" si="101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5"/>
        <v>-0.18805446493040667</v>
      </c>
      <c r="Y272" s="807">
        <f t="shared" si="86"/>
        <v>-8.4364080581609865E-2</v>
      </c>
    </row>
    <row r="273" spans="1:25" ht="20.100000000000001" customHeight="1" x14ac:dyDescent="0.25">
      <c r="A273" s="163">
        <f t="shared" si="99"/>
        <v>395</v>
      </c>
      <c r="B273" s="242">
        <v>42628</v>
      </c>
      <c r="C273" s="243">
        <v>2147.2600000000002</v>
      </c>
      <c r="D273" s="171">
        <f t="shared" si="116"/>
        <v>1.0109278049836171E-2</v>
      </c>
      <c r="E273" s="244">
        <f t="shared" si="104"/>
        <v>2.1318087555411886E-2</v>
      </c>
      <c r="F273" s="245">
        <v>5249.68</v>
      </c>
      <c r="G273" s="171">
        <f t="shared" si="117"/>
        <v>1.4672086312302218E-2</v>
      </c>
      <c r="H273" s="246">
        <f t="shared" si="106"/>
        <v>3.1026965453581412E-2</v>
      </c>
      <c r="I273" s="247">
        <v>375852.08</v>
      </c>
      <c r="J273" s="248">
        <v>400000</v>
      </c>
      <c r="K273" s="248">
        <f t="shared" si="107"/>
        <v>5159.0599999999977</v>
      </c>
      <c r="L273" s="171">
        <f t="shared" si="115"/>
        <v>1.3917337855457859E-2</v>
      </c>
      <c r="M273" s="249">
        <f t="shared" si="110"/>
        <v>-24147.919999999984</v>
      </c>
      <c r="N273" s="250">
        <f t="shared" si="103"/>
        <v>-6.036979999999996E-2</v>
      </c>
      <c r="O273" s="183">
        <f t="shared" si="112"/>
        <v>-5.582296063291136E-2</v>
      </c>
      <c r="P273" s="249" t="b">
        <f t="shared" si="108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100"/>
        <v>66574.5</v>
      </c>
      <c r="T273" s="248">
        <v>-40569</v>
      </c>
      <c r="U273" s="248">
        <f t="shared" si="101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5"/>
        <v>-0.15474267548698431</v>
      </c>
      <c r="Y273" s="807">
        <f t="shared" si="86"/>
        <v>-8.1687887555411842E-2</v>
      </c>
    </row>
    <row r="274" spans="1:25" ht="20.100000000000001" customHeight="1" x14ac:dyDescent="0.25">
      <c r="A274" s="163">
        <f t="shared" si="99"/>
        <v>396</v>
      </c>
      <c r="B274" s="242">
        <v>42629</v>
      </c>
      <c r="C274" s="243">
        <v>2139.16</v>
      </c>
      <c r="D274" s="171">
        <f t="shared" si="116"/>
        <v>-3.7722492851356439E-3</v>
      </c>
      <c r="E274" s="244">
        <f t="shared" si="104"/>
        <v>1.7465421129734877E-2</v>
      </c>
      <c r="F274" s="245">
        <v>5244.56</v>
      </c>
      <c r="G274" s="171">
        <f t="shared" si="117"/>
        <v>-9.7529754194539294E-4</v>
      </c>
      <c r="H274" s="246">
        <f t="shared" si="106"/>
        <v>3.0021407388495118E-2</v>
      </c>
      <c r="I274" s="247">
        <v>375872.83</v>
      </c>
      <c r="J274" s="248">
        <v>400000</v>
      </c>
      <c r="K274" s="248">
        <f t="shared" si="107"/>
        <v>20.75</v>
      </c>
      <c r="L274" s="171">
        <f t="shared" si="115"/>
        <v>5.5207889231316743E-5</v>
      </c>
      <c r="M274" s="249">
        <f t="shared" ref="M274:M279" si="118">I274-J274</f>
        <v>-24127.169999999984</v>
      </c>
      <c r="N274" s="250">
        <f t="shared" si="103"/>
        <v>-6.031792499999996E-2</v>
      </c>
      <c r="O274" s="183">
        <f t="shared" si="112"/>
        <v>-5.5634146732954505E-2</v>
      </c>
      <c r="P274" s="249" t="b">
        <f t="shared" si="108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100"/>
        <v>68851.410000000033</v>
      </c>
      <c r="T274" s="248">
        <v>-40175</v>
      </c>
      <c r="U274" s="248">
        <f t="shared" si="101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5"/>
        <v>-0.1545045511950095</v>
      </c>
      <c r="Y274" s="807">
        <f t="shared" si="86"/>
        <v>-7.7783346129734837E-2</v>
      </c>
    </row>
    <row r="275" spans="1:25" ht="20.100000000000001" customHeight="1" x14ac:dyDescent="0.25">
      <c r="A275" s="163">
        <f t="shared" si="99"/>
        <v>399</v>
      </c>
      <c r="B275" s="172">
        <v>42632</v>
      </c>
      <c r="C275" s="215">
        <v>2139.12</v>
      </c>
      <c r="D275" s="171">
        <f t="shared" si="116"/>
        <v>-1.8698928551377E-5</v>
      </c>
      <c r="E275" s="209">
        <f t="shared" si="104"/>
        <v>1.7446395616521677E-2</v>
      </c>
      <c r="F275" s="219">
        <v>5235.0200000000004</v>
      </c>
      <c r="G275" s="171">
        <f t="shared" si="117"/>
        <v>-1.8190277163384464E-3</v>
      </c>
      <c r="H275" s="203">
        <f t="shared" si="106"/>
        <v>2.8147769900033509E-2</v>
      </c>
      <c r="I275" s="221">
        <v>373123.48</v>
      </c>
      <c r="J275" s="173">
        <v>400000</v>
      </c>
      <c r="K275" s="173">
        <f t="shared" si="107"/>
        <v>-2749.3500000000349</v>
      </c>
      <c r="L275" s="171">
        <f t="shared" si="115"/>
        <v>-7.3145749853747999E-3</v>
      </c>
      <c r="M275" s="182">
        <f t="shared" si="118"/>
        <v>-26876.520000000019</v>
      </c>
      <c r="N275" s="184">
        <f t="shared" si="103"/>
        <v>-6.7191300000000051E-2</v>
      </c>
      <c r="O275" s="183">
        <f t="shared" si="112"/>
        <v>-6.1507825375939899E-2</v>
      </c>
      <c r="P275" s="182" t="b">
        <f t="shared" si="108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100"/>
        <v>66034.409999999974</v>
      </c>
      <c r="T275" s="173">
        <v>-41834</v>
      </c>
      <c r="U275" s="173">
        <f t="shared" si="101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5"/>
        <v>-0.17109544476126018</v>
      </c>
      <c r="Y275" s="807">
        <f t="shared" si="86"/>
        <v>-8.4637695616521735E-2</v>
      </c>
    </row>
    <row r="276" spans="1:25" ht="20.100000000000001" customHeight="1" x14ac:dyDescent="0.25">
      <c r="A276" s="163">
        <f t="shared" si="99"/>
        <v>400</v>
      </c>
      <c r="B276" s="172">
        <v>42633</v>
      </c>
      <c r="C276" s="215">
        <v>2139.7600000000002</v>
      </c>
      <c r="D276" s="171">
        <f t="shared" si="116"/>
        <v>2.991884513259319E-4</v>
      </c>
      <c r="E276" s="209">
        <f t="shared" si="104"/>
        <v>1.7750803827933335E-2</v>
      </c>
      <c r="F276" s="219">
        <v>5241.3500000000004</v>
      </c>
      <c r="G276" s="171">
        <f t="shared" si="117"/>
        <v>1.2091644349018584E-3</v>
      </c>
      <c r="H276" s="203">
        <f t="shared" si="106"/>
        <v>2.9390969617220292E-2</v>
      </c>
      <c r="I276" s="221">
        <v>372718.71</v>
      </c>
      <c r="J276" s="173">
        <v>400000</v>
      </c>
      <c r="K276" s="173">
        <f t="shared" si="107"/>
        <v>-404.76999999996042</v>
      </c>
      <c r="L276" s="171">
        <f t="shared" si="115"/>
        <v>-1.0848151394813332E-3</v>
      </c>
      <c r="M276" s="182">
        <f t="shared" si="118"/>
        <v>-27281.289999999979</v>
      </c>
      <c r="N276" s="184">
        <f t="shared" si="103"/>
        <v>-6.8203224999999951E-2</v>
      </c>
      <c r="O276" s="183">
        <f t="shared" si="112"/>
        <v>-6.2278069828124956E-2</v>
      </c>
      <c r="P276" s="182" t="b">
        <f t="shared" si="108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100"/>
        <v>61492.210000000021</v>
      </c>
      <c r="T276" s="173">
        <v>-42647</v>
      </c>
      <c r="U276" s="173">
        <f t="shared" si="101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5"/>
        <v>-0.17355492369728123</v>
      </c>
      <c r="Y276" s="807">
        <f t="shared" si="86"/>
        <v>-8.5954028827933293E-2</v>
      </c>
    </row>
    <row r="277" spans="1:25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6"/>
        <v>1.0917112199498855E-2</v>
      </c>
      <c r="E277" s="209">
        <f t="shared" si="104"/>
        <v>2.8861703544453034E-2</v>
      </c>
      <c r="F277" s="219">
        <v>5295.18</v>
      </c>
      <c r="G277" s="171">
        <f t="shared" si="117"/>
        <v>1.0270254800766963E-2</v>
      </c>
      <c r="H277" s="203">
        <f t="shared" si="106"/>
        <v>3.9963077164797703E-2</v>
      </c>
      <c r="I277" s="221">
        <v>382463.62</v>
      </c>
      <c r="J277" s="173">
        <v>400000</v>
      </c>
      <c r="K277" s="173">
        <f t="shared" si="107"/>
        <v>9744.9099999999744</v>
      </c>
      <c r="L277" s="171">
        <f t="shared" si="115"/>
        <v>2.6145481132406726E-2</v>
      </c>
      <c r="M277" s="182">
        <f t="shared" si="118"/>
        <v>-17536.380000000005</v>
      </c>
      <c r="N277" s="184">
        <f t="shared" si="103"/>
        <v>-4.384095000000001E-2</v>
      </c>
      <c r="O277" s="183">
        <f t="shared" si="112"/>
        <v>-3.9932436377805497E-2</v>
      </c>
      <c r="P277" s="182" t="b">
        <f t="shared" si="108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100"/>
        <v>76083.070000000007</v>
      </c>
      <c r="T277" s="173">
        <v>-34503</v>
      </c>
      <c r="U277" s="173">
        <f t="shared" si="101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5"/>
        <v>-0.11122202191628326</v>
      </c>
      <c r="Y277" s="807">
        <f t="shared" si="86"/>
        <v>-7.2702653544453044E-2</v>
      </c>
    </row>
    <row r="278" spans="1:25" ht="20.100000000000001" customHeight="1" x14ac:dyDescent="0.25">
      <c r="A278" s="163">
        <f t="shared" ref="A278:A300" si="119">B278-$B$2</f>
        <v>402</v>
      </c>
      <c r="B278" s="172">
        <v>42635</v>
      </c>
      <c r="C278" s="215">
        <v>2177.1799999999998</v>
      </c>
      <c r="D278" s="171">
        <f t="shared" si="116"/>
        <v>6.4998705573430723E-3</v>
      </c>
      <c r="E278" s="209">
        <f t="shared" si="104"/>
        <v>3.5549171438899463E-2</v>
      </c>
      <c r="F278" s="219">
        <v>5339.52</v>
      </c>
      <c r="G278" s="171">
        <f t="shared" si="117"/>
        <v>8.373653020293954E-3</v>
      </c>
      <c r="H278" s="203">
        <f t="shared" si="106"/>
        <v>4.8671367126892913E-2</v>
      </c>
      <c r="I278" s="221">
        <v>385198.84</v>
      </c>
      <c r="J278" s="173">
        <v>400000</v>
      </c>
      <c r="K278" s="173">
        <f t="shared" si="107"/>
        <v>2735.2200000000303</v>
      </c>
      <c r="L278" s="171">
        <f t="shared" si="115"/>
        <v>7.1515821557094246E-3</v>
      </c>
      <c r="M278" s="182">
        <f t="shared" si="118"/>
        <v>-14801.159999999974</v>
      </c>
      <c r="N278" s="184">
        <f t="shared" si="103"/>
        <v>-3.7002899999999936E-2</v>
      </c>
      <c r="O278" s="183">
        <f t="shared" si="112"/>
        <v>-3.3620172201492479E-2</v>
      </c>
      <c r="P278" s="182" t="b">
        <f t="shared" si="108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100"/>
        <v>83623.030000000028</v>
      </c>
      <c r="T278" s="173">
        <v>-32239</v>
      </c>
      <c r="U278" s="173">
        <f t="shared" si="101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5"/>
        <v>-9.379641242195963E-2</v>
      </c>
      <c r="Y278" s="807">
        <f t="shared" si="86"/>
        <v>-7.2552071438899399E-2</v>
      </c>
    </row>
    <row r="279" spans="1:25" ht="20.100000000000001" customHeight="1" x14ac:dyDescent="0.25">
      <c r="A279" s="163">
        <f t="shared" si="119"/>
        <v>403</v>
      </c>
      <c r="B279" s="172">
        <v>42636</v>
      </c>
      <c r="C279" s="215">
        <v>2164.69</v>
      </c>
      <c r="D279" s="171">
        <f t="shared" si="116"/>
        <v>-5.7367787688660478E-3</v>
      </c>
      <c r="E279" s="209">
        <f t="shared" si="104"/>
        <v>2.9608454938071953E-2</v>
      </c>
      <c r="F279" s="219">
        <v>5305.74</v>
      </c>
      <c r="G279" s="171">
        <f t="shared" si="117"/>
        <v>-6.3264113628192517E-3</v>
      </c>
      <c r="H279" s="203">
        <f t="shared" si="106"/>
        <v>4.2037040674038136E-2</v>
      </c>
      <c r="I279" s="221">
        <v>381118.05</v>
      </c>
      <c r="J279" s="173">
        <v>400000</v>
      </c>
      <c r="K279" s="173">
        <f t="shared" si="107"/>
        <v>-4080.7900000000373</v>
      </c>
      <c r="L279" s="171">
        <f t="shared" si="115"/>
        <v>-1.0593983097145456E-2</v>
      </c>
      <c r="M279" s="182">
        <f t="shared" si="118"/>
        <v>-18881.950000000012</v>
      </c>
      <c r="N279" s="184">
        <f t="shared" si="103"/>
        <v>-4.7204875000000028E-2</v>
      </c>
      <c r="O279" s="183">
        <f t="shared" si="112"/>
        <v>-4.2783078396402011E-2</v>
      </c>
      <c r="P279" s="182" t="b">
        <f t="shared" si="108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100"/>
        <v>80747.02999999997</v>
      </c>
      <c r="T279" s="173">
        <v>-36012</v>
      </c>
      <c r="U279" s="173">
        <f t="shared" si="101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5"/>
        <v>-0.11952486328311787</v>
      </c>
      <c r="Y279" s="807">
        <f t="shared" si="86"/>
        <v>-7.6813329938071981E-2</v>
      </c>
    </row>
    <row r="280" spans="1:25" ht="20.100000000000001" customHeight="1" x14ac:dyDescent="0.25">
      <c r="A280" s="163">
        <f t="shared" si="119"/>
        <v>406</v>
      </c>
      <c r="B280" s="242">
        <v>42639</v>
      </c>
      <c r="C280" s="332">
        <v>2146.1</v>
      </c>
      <c r="D280" s="171">
        <f t="shared" si="116"/>
        <v>-8.5878347477006609E-3</v>
      </c>
      <c r="E280" s="244">
        <f t="shared" si="104"/>
        <v>2.0766347672228389E-2</v>
      </c>
      <c r="F280" s="245">
        <v>5257.49</v>
      </c>
      <c r="G280" s="171">
        <f t="shared" si="117"/>
        <v>-9.093924692879788E-3</v>
      </c>
      <c r="H280" s="246">
        <f t="shared" si="106"/>
        <v>3.256083429895712E-2</v>
      </c>
      <c r="I280" s="247">
        <v>378419.42</v>
      </c>
      <c r="J280" s="248">
        <v>400000</v>
      </c>
      <c r="K280" s="248">
        <f t="shared" si="107"/>
        <v>-2698.6300000000047</v>
      </c>
      <c r="L280" s="171">
        <f t="shared" si="115"/>
        <v>-7.0808244322198982E-3</v>
      </c>
      <c r="M280" s="249">
        <f t="shared" ref="M280:M311" si="120">I280-J280</f>
        <v>-21580.580000000016</v>
      </c>
      <c r="N280" s="250">
        <f t="shared" si="103"/>
        <v>-5.395145000000004E-2</v>
      </c>
      <c r="O280" s="183">
        <f t="shared" si="112"/>
        <v>-4.8536372198275897E-2</v>
      </c>
      <c r="P280" s="249" t="b">
        <f t="shared" si="108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100"/>
        <v>67606.889999999956</v>
      </c>
      <c r="T280" s="248">
        <v>-37706</v>
      </c>
      <c r="U280" s="248">
        <f t="shared" si="101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5"/>
        <v>-0.13581642505201377</v>
      </c>
      <c r="Y280" s="807">
        <f t="shared" si="86"/>
        <v>-7.4717797672228428E-2</v>
      </c>
    </row>
    <row r="281" spans="1:25" ht="20.100000000000001" customHeight="1" x14ac:dyDescent="0.25">
      <c r="A281" s="163">
        <f t="shared" si="119"/>
        <v>407</v>
      </c>
      <c r="B281" s="242">
        <v>42640</v>
      </c>
      <c r="C281" s="332">
        <v>2159.9299999999998</v>
      </c>
      <c r="D281" s="171">
        <f t="shared" si="116"/>
        <v>6.4442477051395216E-3</v>
      </c>
      <c r="E281" s="244">
        <f t="shared" si="104"/>
        <v>2.7344418865698796E-2</v>
      </c>
      <c r="F281" s="245">
        <v>5305.71</v>
      </c>
      <c r="G281" s="171">
        <f t="shared" si="117"/>
        <v>9.1716769789386681E-3</v>
      </c>
      <c r="H281" s="246">
        <f t="shared" si="106"/>
        <v>4.203114873225057E-2</v>
      </c>
      <c r="I281" s="247">
        <v>375834.82</v>
      </c>
      <c r="J281" s="248">
        <v>400000</v>
      </c>
      <c r="K281" s="248">
        <f t="shared" si="107"/>
        <v>-2584.5999999999767</v>
      </c>
      <c r="L281" s="171">
        <f t="shared" si="115"/>
        <v>-6.8299877421723679E-3</v>
      </c>
      <c r="M281" s="249">
        <f t="shared" si="120"/>
        <v>-24165.179999999993</v>
      </c>
      <c r="N281" s="250">
        <f t="shared" si="103"/>
        <v>-6.0412949999999979E-2</v>
      </c>
      <c r="O281" s="183">
        <f t="shared" si="112"/>
        <v>-5.4215798495085982E-2</v>
      </c>
      <c r="P281" s="249" t="b">
        <f t="shared" si="108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100"/>
        <v>62627.869999999995</v>
      </c>
      <c r="T281" s="248">
        <v>-41827</v>
      </c>
      <c r="U281" s="248">
        <f t="shared" si="101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5"/>
        <v>-0.15195433630048219</v>
      </c>
      <c r="Y281" s="807">
        <f t="shared" si="86"/>
        <v>-8.7757368865698779E-2</v>
      </c>
    </row>
    <row r="282" spans="1:25" ht="20.100000000000001" customHeight="1" x14ac:dyDescent="0.25">
      <c r="A282" s="163">
        <f t="shared" si="119"/>
        <v>408</v>
      </c>
      <c r="B282" s="242">
        <v>42641</v>
      </c>
      <c r="C282" s="243">
        <v>2171.37</v>
      </c>
      <c r="D282" s="171">
        <f t="shared" si="116"/>
        <v>5.2964679410907088E-3</v>
      </c>
      <c r="E282" s="244">
        <f t="shared" si="104"/>
        <v>3.2785715644679435E-2</v>
      </c>
      <c r="F282" s="245">
        <v>5318.54</v>
      </c>
      <c r="G282" s="171">
        <f t="shared" si="117"/>
        <v>2.4181495030825145E-3</v>
      </c>
      <c r="H282" s="246">
        <f t="shared" si="106"/>
        <v>4.4550935836753965E-2</v>
      </c>
      <c r="I282" s="247">
        <v>385764.92</v>
      </c>
      <c r="J282" s="248">
        <v>400000</v>
      </c>
      <c r="K282" s="248">
        <f t="shared" si="107"/>
        <v>9930.0999999999767</v>
      </c>
      <c r="L282" s="171">
        <f t="shared" si="115"/>
        <v>2.6421447592322542E-2</v>
      </c>
      <c r="M282" s="249">
        <f t="shared" si="120"/>
        <v>-14235.080000000016</v>
      </c>
      <c r="N282" s="250">
        <f t="shared" si="103"/>
        <v>-3.5587700000000042E-2</v>
      </c>
      <c r="O282" s="183">
        <f t="shared" si="112"/>
        <v>-3.1858841727941213E-2</v>
      </c>
      <c r="P282" s="249" t="b">
        <f t="shared" si="108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100"/>
        <v>81764.679999999993</v>
      </c>
      <c r="T282" s="248">
        <v>-31374</v>
      </c>
      <c r="U282" s="248">
        <f t="shared" si="101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5"/>
        <v>-8.9238658362597242E-2</v>
      </c>
      <c r="Y282" s="807">
        <f t="shared" si="86"/>
        <v>-6.8373415644679469E-2</v>
      </c>
    </row>
    <row r="283" spans="1:25" ht="20.100000000000001" customHeight="1" x14ac:dyDescent="0.25">
      <c r="A283" s="163">
        <f t="shared" si="119"/>
        <v>409</v>
      </c>
      <c r="B283" s="242">
        <v>42642</v>
      </c>
      <c r="C283" s="243">
        <v>2151.13</v>
      </c>
      <c r="D283" s="171">
        <f t="shared" si="116"/>
        <v>-9.3213040614910318E-3</v>
      </c>
      <c r="E283" s="244">
        <f t="shared" si="104"/>
        <v>2.3158805958790763E-2</v>
      </c>
      <c r="F283" s="245">
        <v>5269.15</v>
      </c>
      <c r="G283" s="171">
        <f t="shared" si="117"/>
        <v>-9.286383105137937E-3</v>
      </c>
      <c r="H283" s="246">
        <f t="shared" si="106"/>
        <v>3.4850835673743509E-2</v>
      </c>
      <c r="I283" s="247">
        <v>389483.35</v>
      </c>
      <c r="J283" s="248">
        <v>400000</v>
      </c>
      <c r="K283" s="248">
        <f t="shared" si="107"/>
        <v>3718.429999999993</v>
      </c>
      <c r="L283" s="171">
        <f t="shared" si="115"/>
        <v>9.6391087090033824E-3</v>
      </c>
      <c r="M283" s="249">
        <f t="shared" si="120"/>
        <v>-10516.650000000023</v>
      </c>
      <c r="N283" s="250">
        <f t="shared" si="103"/>
        <v>-2.6291625000000058E-2</v>
      </c>
      <c r="O283" s="183">
        <f t="shared" si="112"/>
        <v>-2.3479256800122299E-2</v>
      </c>
      <c r="P283" s="249" t="b">
        <f t="shared" si="108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100"/>
        <v>90552.049999999988</v>
      </c>
      <c r="T283" s="248">
        <v>-27372</v>
      </c>
      <c r="U283" s="248">
        <f t="shared" si="101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21">O283/W283</f>
        <v>-6.5865043106320076E-2</v>
      </c>
      <c r="Y283" s="807">
        <f t="shared" ref="Y283:Y346" si="122">-(E283-N283)</f>
        <v>-4.9450430958790821E-2</v>
      </c>
    </row>
    <row r="284" spans="1:25" ht="20.100000000000001" customHeight="1" x14ac:dyDescent="0.25">
      <c r="A284" s="163">
        <f t="shared" si="119"/>
        <v>410</v>
      </c>
      <c r="B284" s="242">
        <v>42643</v>
      </c>
      <c r="C284" s="243">
        <v>2168.27</v>
      </c>
      <c r="D284" s="171">
        <f t="shared" si="116"/>
        <v>7.9679052405014442E-3</v>
      </c>
      <c r="E284" s="244">
        <f t="shared" si="104"/>
        <v>3.1311238370655012E-2</v>
      </c>
      <c r="F284" s="245">
        <v>5312</v>
      </c>
      <c r="G284" s="171">
        <f t="shared" si="117"/>
        <v>8.1322414431170813E-3</v>
      </c>
      <c r="H284" s="246">
        <f t="shared" si="106"/>
        <v>4.3266492527053869E-2</v>
      </c>
      <c r="I284" s="471">
        <v>389657.79</v>
      </c>
      <c r="J284" s="248">
        <v>400000</v>
      </c>
      <c r="K284" s="248">
        <f t="shared" si="107"/>
        <v>174.44000000000233</v>
      </c>
      <c r="L284" s="171">
        <f t="shared" si="115"/>
        <v>4.478753713092032E-4</v>
      </c>
      <c r="M284" s="249">
        <f t="shared" si="120"/>
        <v>-10342.210000000021</v>
      </c>
      <c r="N284" s="250">
        <f t="shared" si="103"/>
        <v>-2.5855525000000053E-2</v>
      </c>
      <c r="O284" s="183">
        <f t="shared" si="112"/>
        <v>-2.3033489039634193E-2</v>
      </c>
      <c r="P284" s="249" t="b">
        <f t="shared" si="108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100"/>
        <v>85713.06</v>
      </c>
      <c r="T284" s="248">
        <v>-28150</v>
      </c>
      <c r="U284" s="248">
        <f t="shared" si="101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21"/>
        <v>-6.4729835748792333E-2</v>
      </c>
      <c r="Y284" s="807">
        <f t="shared" si="122"/>
        <v>-5.7166763370655065E-2</v>
      </c>
    </row>
    <row r="285" spans="1:25" ht="20.100000000000001" customHeight="1" x14ac:dyDescent="0.25">
      <c r="A285" s="163">
        <f t="shared" si="119"/>
        <v>413</v>
      </c>
      <c r="B285" s="172">
        <v>42646</v>
      </c>
      <c r="C285" s="215">
        <v>2161.1999999999998</v>
      </c>
      <c r="D285" s="171">
        <f t="shared" si="116"/>
        <v>-3.2606640316935453E-3</v>
      </c>
      <c r="E285" s="209">
        <f t="shared" si="104"/>
        <v>2.794847891021849E-2</v>
      </c>
      <c r="F285" s="219">
        <v>5300.87</v>
      </c>
      <c r="G285" s="171">
        <f t="shared" si="117"/>
        <v>-2.0952560240964061E-3</v>
      </c>
      <c r="H285" s="203">
        <f t="shared" si="106"/>
        <v>4.108058212384863E-2</v>
      </c>
      <c r="I285" s="221">
        <v>389787.58</v>
      </c>
      <c r="J285" s="173">
        <v>400000</v>
      </c>
      <c r="K285" s="173">
        <f t="shared" si="107"/>
        <v>129.79000000003725</v>
      </c>
      <c r="L285" s="171">
        <f t="shared" si="115"/>
        <v>3.3308714295186365E-4</v>
      </c>
      <c r="M285" s="182">
        <f t="shared" si="120"/>
        <v>-10212.419999999984</v>
      </c>
      <c r="N285" s="184">
        <f t="shared" si="103"/>
        <v>-2.5531049999999958E-2</v>
      </c>
      <c r="O285" s="183">
        <f t="shared" si="112"/>
        <v>-2.2579215526634347E-2</v>
      </c>
      <c r="P285" s="182" t="b">
        <f t="shared" si="108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23">I285-R285</f>
        <v>73356.44</v>
      </c>
      <c r="T285" s="173">
        <v>-28447</v>
      </c>
      <c r="U285" s="173">
        <f t="shared" ref="U285:U316" si="124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21"/>
        <v>-6.3566014665554588E-2</v>
      </c>
      <c r="Y285" s="807">
        <f t="shared" si="122"/>
        <v>-5.3479528910218448E-2</v>
      </c>
    </row>
    <row r="286" spans="1:25" ht="20.100000000000001" customHeight="1" x14ac:dyDescent="0.25">
      <c r="A286" s="163">
        <f t="shared" si="119"/>
        <v>414</v>
      </c>
      <c r="B286" s="172">
        <v>42647</v>
      </c>
      <c r="C286" s="215">
        <v>2150.4899999999998</v>
      </c>
      <c r="D286" s="171">
        <f t="shared" ref="D286:D295" si="125">(C286-C285)/C285</f>
        <v>-4.9555802332037933E-3</v>
      </c>
      <c r="E286" s="209">
        <f t="shared" si="104"/>
        <v>2.2854397747379105E-2</v>
      </c>
      <c r="F286" s="219">
        <v>5289.65</v>
      </c>
      <c r="G286" s="171">
        <f t="shared" ref="G286:G292" si="126">(F286-F285)/F285</f>
        <v>-2.1166336846593589E-3</v>
      </c>
      <c r="H286" s="203">
        <f t="shared" si="106"/>
        <v>3.8876995895280521E-2</v>
      </c>
      <c r="I286" s="221">
        <v>385233.03</v>
      </c>
      <c r="J286" s="173">
        <v>400000</v>
      </c>
      <c r="K286" s="173">
        <f t="shared" si="107"/>
        <v>-4554.5499999999884</v>
      </c>
      <c r="L286" s="171">
        <f t="shared" ref="L286:L295" si="127">K286/I285</f>
        <v>-1.1684697598625355E-2</v>
      </c>
      <c r="M286" s="182">
        <f t="shared" si="120"/>
        <v>-14766.969999999972</v>
      </c>
      <c r="N286" s="184">
        <f t="shared" ref="N286:N317" si="128">M286/J286</f>
        <v>-3.6917424999999927E-2</v>
      </c>
      <c r="O286" s="183">
        <f t="shared" si="112"/>
        <v>-3.2570264447463707E-2</v>
      </c>
      <c r="P286" s="182" t="b">
        <f t="shared" si="108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23"/>
        <v>48130.640000000014</v>
      </c>
      <c r="T286" s="173">
        <v>-32163</v>
      </c>
      <c r="U286" s="173">
        <f t="shared" si="124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21"/>
        <v>-9.1807719423733836E-2</v>
      </c>
      <c r="Y286" s="807">
        <f t="shared" si="122"/>
        <v>-5.9771822747379036E-2</v>
      </c>
    </row>
    <row r="287" spans="1:25" ht="20.100000000000001" customHeight="1" x14ac:dyDescent="0.25">
      <c r="A287" s="163">
        <f t="shared" si="119"/>
        <v>415</v>
      </c>
      <c r="B287" s="172">
        <v>42648</v>
      </c>
      <c r="C287" s="215">
        <v>2159.73</v>
      </c>
      <c r="D287" s="171">
        <f t="shared" si="125"/>
        <v>4.2966951717981657E-3</v>
      </c>
      <c r="E287" s="209">
        <f t="shared" si="104"/>
        <v>2.7249291299632789E-2</v>
      </c>
      <c r="F287" s="219">
        <v>5316.02</v>
      </c>
      <c r="G287" s="171">
        <f t="shared" si="126"/>
        <v>4.9852069607631512E-3</v>
      </c>
      <c r="H287" s="203">
        <f t="shared" si="106"/>
        <v>4.4056012726594387E-2</v>
      </c>
      <c r="I287" s="221">
        <v>390592.54</v>
      </c>
      <c r="J287" s="173">
        <v>400000</v>
      </c>
      <c r="K287" s="173">
        <f t="shared" si="107"/>
        <v>5359.5099999999511</v>
      </c>
      <c r="L287" s="171">
        <f t="shared" si="127"/>
        <v>1.3912384407951599E-2</v>
      </c>
      <c r="M287" s="182">
        <f t="shared" si="120"/>
        <v>-9407.460000000021</v>
      </c>
      <c r="N287" s="184">
        <f t="shared" si="128"/>
        <v>-2.3518650000000054E-2</v>
      </c>
      <c r="O287" s="183">
        <f t="shared" si="112"/>
        <v>-2.0699245572289207E-2</v>
      </c>
      <c r="P287" s="182" t="b">
        <f t="shared" si="108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23"/>
        <v>77259.929999999993</v>
      </c>
      <c r="T287" s="173">
        <v>-29624</v>
      </c>
      <c r="U287" s="173">
        <f t="shared" si="124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21"/>
        <v>-5.8411830173252167E-2</v>
      </c>
      <c r="Y287" s="807">
        <f t="shared" si="122"/>
        <v>-5.0767941299632843E-2</v>
      </c>
    </row>
    <row r="288" spans="1:25" ht="20.100000000000001" customHeight="1" x14ac:dyDescent="0.25">
      <c r="A288" s="163">
        <f t="shared" si="119"/>
        <v>416</v>
      </c>
      <c r="B288" s="172">
        <v>42649</v>
      </c>
      <c r="C288" s="215">
        <v>2160.77</v>
      </c>
      <c r="D288" s="171">
        <f t="shared" si="125"/>
        <v>4.8154167419073849E-4</v>
      </c>
      <c r="E288" s="209">
        <f t="shared" ref="E288:E319" si="129">(C288-$C$2)/$C$2</f>
        <v>2.7743954643176465E-2</v>
      </c>
      <c r="F288" s="219">
        <v>5306.85</v>
      </c>
      <c r="G288" s="171">
        <f t="shared" si="126"/>
        <v>-1.7249746991170221E-3</v>
      </c>
      <c r="H288" s="203">
        <f t="shared" ref="H288:H319" si="130">(F288-F$2)/F$2</f>
        <v>4.225504252018001E-2</v>
      </c>
      <c r="I288" s="221">
        <v>390871.84</v>
      </c>
      <c r="J288" s="173">
        <v>400000</v>
      </c>
      <c r="K288" s="173">
        <f t="shared" ref="K288:K319" si="131">I288-I287-J288+J287</f>
        <v>279.30000000004657</v>
      </c>
      <c r="L288" s="171">
        <f t="shared" si="127"/>
        <v>7.1506742038659153E-4</v>
      </c>
      <c r="M288" s="182">
        <f t="shared" si="120"/>
        <v>-9128.1599999999744</v>
      </c>
      <c r="N288" s="184">
        <f t="shared" si="128"/>
        <v>-2.2820399999999935E-2</v>
      </c>
      <c r="O288" s="183">
        <f t="shared" si="112"/>
        <v>-2.0036420913461479E-2</v>
      </c>
      <c r="P288" s="182" t="b">
        <f t="shared" ref="P288:P319" si="132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23"/>
        <v>55624.650000000023</v>
      </c>
      <c r="T288" s="173">
        <v>-29330</v>
      </c>
      <c r="U288" s="173">
        <f t="shared" si="124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21"/>
        <v>-5.6640832269130054E-2</v>
      </c>
      <c r="Y288" s="807">
        <f t="shared" si="122"/>
        <v>-5.05643546431764E-2</v>
      </c>
    </row>
    <row r="289" spans="1:25" ht="20.100000000000001" customHeight="1" x14ac:dyDescent="0.25">
      <c r="A289" s="163">
        <f t="shared" si="119"/>
        <v>417</v>
      </c>
      <c r="B289" s="172">
        <v>42650</v>
      </c>
      <c r="C289" s="215">
        <v>2153.7399999999998</v>
      </c>
      <c r="D289" s="171">
        <f t="shared" si="125"/>
        <v>-3.2534698278855224E-3</v>
      </c>
      <c r="E289" s="209">
        <f t="shared" si="129"/>
        <v>2.4400220695953143E-2</v>
      </c>
      <c r="F289" s="219">
        <v>5292.4</v>
      </c>
      <c r="G289" s="171">
        <f t="shared" si="126"/>
        <v>-2.7228958798535341E-3</v>
      </c>
      <c r="H289" s="203">
        <f t="shared" si="130"/>
        <v>3.9417090559145239E-2</v>
      </c>
      <c r="I289" s="221">
        <v>386326.18</v>
      </c>
      <c r="J289" s="173">
        <v>400000</v>
      </c>
      <c r="K289" s="173">
        <f t="shared" si="131"/>
        <v>-4545.6600000000326</v>
      </c>
      <c r="L289" s="171">
        <f t="shared" si="127"/>
        <v>-1.1629540772238881E-2</v>
      </c>
      <c r="M289" s="182">
        <f t="shared" si="120"/>
        <v>-13673.820000000007</v>
      </c>
      <c r="N289" s="184">
        <f t="shared" si="128"/>
        <v>-3.4184550000000015E-2</v>
      </c>
      <c r="O289" s="183">
        <f t="shared" si="112"/>
        <v>-2.9942222751798572E-2</v>
      </c>
      <c r="P289" s="182" t="b">
        <f t="shared" si="132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23"/>
        <v>46203.149999999965</v>
      </c>
      <c r="T289" s="173">
        <v>-30659</v>
      </c>
      <c r="U289" s="173">
        <f t="shared" si="124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21"/>
        <v>-8.4748026002935531E-2</v>
      </c>
      <c r="Y289" s="807">
        <f t="shared" si="122"/>
        <v>-5.8584770695953158E-2</v>
      </c>
    </row>
    <row r="290" spans="1:25" ht="20.100000000000001" customHeight="1" x14ac:dyDescent="0.25">
      <c r="A290" s="163">
        <f t="shared" si="119"/>
        <v>420</v>
      </c>
      <c r="B290" s="242">
        <v>42653</v>
      </c>
      <c r="C290" s="243">
        <v>2163.66</v>
      </c>
      <c r="D290" s="171">
        <f t="shared" si="125"/>
        <v>4.6059412928208948E-3</v>
      </c>
      <c r="E290" s="244">
        <f t="shared" si="129"/>
        <v>2.911854797283147E-2</v>
      </c>
      <c r="F290" s="245">
        <v>5328.67</v>
      </c>
      <c r="G290" s="171">
        <f t="shared" si="126"/>
        <v>6.8532234902880431E-3</v>
      </c>
      <c r="H290" s="246">
        <f t="shared" si="130"/>
        <v>4.6540448180372028E-2</v>
      </c>
      <c r="I290" s="247">
        <v>390200.44</v>
      </c>
      <c r="J290" s="248">
        <v>400000</v>
      </c>
      <c r="K290" s="248">
        <f t="shared" si="131"/>
        <v>3874.2600000000093</v>
      </c>
      <c r="L290" s="171">
        <f t="shared" si="127"/>
        <v>1.0028468689333997E-2</v>
      </c>
      <c r="M290" s="249">
        <f t="shared" si="120"/>
        <v>-9799.5599999999977</v>
      </c>
      <c r="N290" s="250">
        <f t="shared" si="128"/>
        <v>-2.4498899999999994E-2</v>
      </c>
      <c r="O290" s="183">
        <f t="shared" si="112"/>
        <v>-2.1305293392857139E-2</v>
      </c>
      <c r="P290" s="249" t="b">
        <f t="shared" si="132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23"/>
        <v>50076.409999999974</v>
      </c>
      <c r="T290" s="248">
        <v>-26735</v>
      </c>
      <c r="U290" s="248">
        <f t="shared" si="124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21"/>
        <v>-6.0388032128647948E-2</v>
      </c>
      <c r="Y290" s="807">
        <f t="shared" si="122"/>
        <v>-5.3617447972831467E-2</v>
      </c>
    </row>
    <row r="291" spans="1:25" ht="20.100000000000001" customHeight="1" x14ac:dyDescent="0.25">
      <c r="A291" s="163">
        <f t="shared" si="119"/>
        <v>428</v>
      </c>
      <c r="B291" s="172">
        <v>42661</v>
      </c>
      <c r="C291" s="215">
        <v>2139.6</v>
      </c>
      <c r="D291" s="171">
        <f t="shared" si="125"/>
        <v>-1.1120046587726327E-2</v>
      </c>
      <c r="E291" s="209">
        <f t="shared" si="129"/>
        <v>1.7674701775080313E-2</v>
      </c>
      <c r="F291" s="219">
        <v>5243.83</v>
      </c>
      <c r="G291" s="171">
        <f t="shared" si="126"/>
        <v>-1.592142129274287E-2</v>
      </c>
      <c r="H291" s="203">
        <f t="shared" si="130"/>
        <v>2.9878036804996389E-2</v>
      </c>
      <c r="I291" s="221">
        <v>374649.22</v>
      </c>
      <c r="J291" s="173">
        <v>400000</v>
      </c>
      <c r="K291" s="173">
        <f t="shared" si="131"/>
        <v>-15551.22000000003</v>
      </c>
      <c r="L291" s="171">
        <f t="shared" si="127"/>
        <v>-3.9854439938612138E-2</v>
      </c>
      <c r="M291" s="182">
        <f t="shared" si="120"/>
        <v>-25350.780000000028</v>
      </c>
      <c r="N291" s="184">
        <f t="shared" si="128"/>
        <v>-6.3376950000000071E-2</v>
      </c>
      <c r="O291" s="183">
        <f t="shared" si="112"/>
        <v>-5.4085119129672961E-2</v>
      </c>
      <c r="P291" s="182" t="b">
        <f t="shared" si="132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23"/>
        <v>48775.619999999995</v>
      </c>
      <c r="T291" s="173">
        <v>-42252</v>
      </c>
      <c r="U291" s="173">
        <f t="shared" si="124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21"/>
        <v>-0.15269572572626519</v>
      </c>
      <c r="Y291" s="807">
        <f t="shared" si="122"/>
        <v>-8.1051651775080391E-2</v>
      </c>
    </row>
    <row r="292" spans="1:25" ht="20.100000000000001" customHeight="1" x14ac:dyDescent="0.25">
      <c r="A292" s="163">
        <f t="shared" si="119"/>
        <v>429</v>
      </c>
      <c r="B292" s="172">
        <v>42662</v>
      </c>
      <c r="C292" s="215">
        <v>2144.29</v>
      </c>
      <c r="D292" s="171">
        <f t="shared" si="125"/>
        <v>2.1919985043933701E-3</v>
      </c>
      <c r="E292" s="209">
        <f t="shared" si="129"/>
        <v>1.9905443199330259E-2</v>
      </c>
      <c r="F292" s="219">
        <v>5246.41</v>
      </c>
      <c r="G292" s="171">
        <f t="shared" si="126"/>
        <v>4.9200679655898979E-4</v>
      </c>
      <c r="H292" s="203">
        <f t="shared" si="130"/>
        <v>3.0384743798731278E-2</v>
      </c>
      <c r="I292" s="221">
        <v>380216.65</v>
      </c>
      <c r="J292" s="173">
        <v>400000</v>
      </c>
      <c r="K292" s="173">
        <f t="shared" si="131"/>
        <v>5567.4300000000512</v>
      </c>
      <c r="L292" s="171">
        <f t="shared" si="127"/>
        <v>1.4860380598150055E-2</v>
      </c>
      <c r="M292" s="182">
        <f t="shared" si="120"/>
        <v>-19783.349999999977</v>
      </c>
      <c r="N292" s="184">
        <f t="shared" si="128"/>
        <v>-4.9458374999999943E-2</v>
      </c>
      <c r="O292" s="183">
        <f t="shared" si="112"/>
        <v>-4.2108791302447504E-2</v>
      </c>
      <c r="P292" s="182" t="b">
        <f t="shared" si="132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23"/>
        <v>56159.450000000012</v>
      </c>
      <c r="T292" s="173">
        <v>-37035</v>
      </c>
      <c r="U292" s="173">
        <f t="shared" si="124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21"/>
        <v>-0.11900266180578474</v>
      </c>
      <c r="Y292" s="807">
        <f t="shared" si="122"/>
        <v>-6.9363818199330199E-2</v>
      </c>
    </row>
    <row r="293" spans="1:25" ht="20.100000000000001" customHeight="1" x14ac:dyDescent="0.25">
      <c r="A293" s="163">
        <f t="shared" si="119"/>
        <v>430</v>
      </c>
      <c r="B293" s="172">
        <v>42663</v>
      </c>
      <c r="C293" s="215">
        <v>2141.34</v>
      </c>
      <c r="D293" s="171">
        <f t="shared" si="125"/>
        <v>-1.3757467506726321E-3</v>
      </c>
      <c r="E293" s="209">
        <f t="shared" si="129"/>
        <v>1.850231159985545E-2</v>
      </c>
      <c r="F293" s="219">
        <v>5241.83</v>
      </c>
      <c r="G293" s="171">
        <f t="shared" ref="G293:G306" si="133">(F293-F292)/F292</f>
        <v>-8.7297790298507499E-4</v>
      </c>
      <c r="H293" s="203">
        <f t="shared" si="130"/>
        <v>2.9485240685822048E-2</v>
      </c>
      <c r="I293" s="221">
        <v>381021.44</v>
      </c>
      <c r="J293" s="173">
        <v>400000</v>
      </c>
      <c r="K293" s="173">
        <f t="shared" si="131"/>
        <v>804.78999999997905</v>
      </c>
      <c r="L293" s="171">
        <f t="shared" si="127"/>
        <v>2.1166616454065834E-3</v>
      </c>
      <c r="M293" s="182">
        <f t="shared" si="120"/>
        <v>-18978.559999999998</v>
      </c>
      <c r="N293" s="184">
        <f t="shared" si="128"/>
        <v>-4.7446399999999993E-2</v>
      </c>
      <c r="O293" s="183">
        <f t="shared" si="112"/>
        <v>-4.0301854883720921E-2</v>
      </c>
      <c r="P293" s="182" t="b">
        <f t="shared" si="132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23"/>
        <v>60087.539999999979</v>
      </c>
      <c r="T293" s="173">
        <v>-36535</v>
      </c>
      <c r="U293" s="173">
        <f t="shared" si="124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21"/>
        <v>-0.11409182658261245</v>
      </c>
      <c r="Y293" s="807">
        <f t="shared" si="122"/>
        <v>-6.5948711599855436E-2</v>
      </c>
    </row>
    <row r="294" spans="1:25" ht="20.100000000000001" customHeight="1" x14ac:dyDescent="0.25">
      <c r="A294" s="163">
        <f t="shared" si="119"/>
        <v>431</v>
      </c>
      <c r="B294" s="172">
        <v>42664</v>
      </c>
      <c r="C294" s="215">
        <v>2141.16</v>
      </c>
      <c r="D294" s="171">
        <f t="shared" si="125"/>
        <v>-8.4059514136144197E-5</v>
      </c>
      <c r="E294" s="209">
        <f t="shared" si="129"/>
        <v>1.8416696790395825E-2</v>
      </c>
      <c r="F294" s="219">
        <v>5257.4</v>
      </c>
      <c r="G294" s="171">
        <f t="shared" si="133"/>
        <v>2.9703366953906765E-3</v>
      </c>
      <c r="H294" s="203">
        <f t="shared" si="130"/>
        <v>3.254315847359425E-2</v>
      </c>
      <c r="I294" s="221">
        <v>378995.29</v>
      </c>
      <c r="J294" s="173">
        <v>400000</v>
      </c>
      <c r="K294" s="173">
        <f t="shared" si="131"/>
        <v>-2026.1500000000233</v>
      </c>
      <c r="L294" s="171">
        <f t="shared" si="127"/>
        <v>-5.3176797610129849E-3</v>
      </c>
      <c r="M294" s="182">
        <f t="shared" si="120"/>
        <v>-21004.710000000021</v>
      </c>
      <c r="N294" s="184">
        <f t="shared" si="128"/>
        <v>-5.2511775000000052E-2</v>
      </c>
      <c r="O294" s="183">
        <f t="shared" si="112"/>
        <v>-4.4500987978538326E-2</v>
      </c>
      <c r="P294" s="182" t="b">
        <f t="shared" si="132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23"/>
        <v>58060.389999999956</v>
      </c>
      <c r="T294" s="173">
        <v>-36534</v>
      </c>
      <c r="U294" s="173">
        <f t="shared" si="124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21"/>
        <v>-0.12618200077428562</v>
      </c>
      <c r="Y294" s="807">
        <f t="shared" si="122"/>
        <v>-7.0928471790395881E-2</v>
      </c>
    </row>
    <row r="295" spans="1:25" ht="20.100000000000001" customHeight="1" x14ac:dyDescent="0.25">
      <c r="A295" s="163">
        <f t="shared" si="119"/>
        <v>434</v>
      </c>
      <c r="B295" s="242">
        <v>42667</v>
      </c>
      <c r="C295" s="243">
        <v>2151.33</v>
      </c>
      <c r="D295" s="171">
        <f t="shared" si="125"/>
        <v>4.7497618113546275E-3</v>
      </c>
      <c r="E295" s="244">
        <f t="shared" si="129"/>
        <v>2.3253933524856774E-2</v>
      </c>
      <c r="F295" s="245">
        <v>5309.82</v>
      </c>
      <c r="G295" s="171">
        <f t="shared" si="133"/>
        <v>9.9707079545022399E-3</v>
      </c>
      <c r="H295" s="246">
        <f t="shared" si="130"/>
        <v>4.2838344757153778E-2</v>
      </c>
      <c r="I295" s="247">
        <v>378540.69</v>
      </c>
      <c r="J295" s="248">
        <v>400000</v>
      </c>
      <c r="K295" s="248">
        <f t="shared" si="131"/>
        <v>-454.59999999997672</v>
      </c>
      <c r="L295" s="171">
        <f t="shared" si="127"/>
        <v>-1.1994872020704445E-3</v>
      </c>
      <c r="M295" s="249">
        <f t="shared" si="120"/>
        <v>-21459.309999999998</v>
      </c>
      <c r="N295" s="250">
        <f t="shared" si="128"/>
        <v>-5.3648274999999995E-2</v>
      </c>
      <c r="O295" s="183">
        <f t="shared" si="112"/>
        <v>-4.5149844340437784E-2</v>
      </c>
      <c r="P295" s="249" t="b">
        <f t="shared" si="132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23"/>
        <v>53787.539999999979</v>
      </c>
      <c r="T295" s="248">
        <v>-39269</v>
      </c>
      <c r="U295" s="248">
        <f t="shared" si="124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21"/>
        <v>-0.12824049658303618</v>
      </c>
      <c r="Y295" s="807">
        <f t="shared" si="122"/>
        <v>-7.6902208524856769E-2</v>
      </c>
    </row>
    <row r="296" spans="1:25" ht="20.100000000000001" customHeight="1" x14ac:dyDescent="0.25">
      <c r="A296" s="163">
        <f t="shared" si="119"/>
        <v>435</v>
      </c>
      <c r="B296" s="242">
        <v>42668</v>
      </c>
      <c r="C296" s="243">
        <v>2143.16</v>
      </c>
      <c r="D296" s="171">
        <f t="shared" ref="D296:D306" si="134">(C296-C295)/C295</f>
        <v>-3.797650755579141E-3</v>
      </c>
      <c r="E296" s="244">
        <f t="shared" si="129"/>
        <v>1.9367972451056772E-2</v>
      </c>
      <c r="F296" s="245">
        <v>5283.39</v>
      </c>
      <c r="G296" s="171">
        <f t="shared" si="133"/>
        <v>-4.9775698611251194E-3</v>
      </c>
      <c r="H296" s="246">
        <f t="shared" si="130"/>
        <v>3.764754404226496E-2</v>
      </c>
      <c r="I296" s="247">
        <v>374243.66</v>
      </c>
      <c r="J296" s="248">
        <v>400000</v>
      </c>
      <c r="K296" s="248">
        <f t="shared" si="131"/>
        <v>-4297.0300000000279</v>
      </c>
      <c r="L296" s="171">
        <f>K296/I295</f>
        <v>-1.1351566987422219E-2</v>
      </c>
      <c r="M296" s="249">
        <f t="shared" si="120"/>
        <v>-25756.340000000026</v>
      </c>
      <c r="N296" s="250">
        <f t="shared" si="128"/>
        <v>-6.4390850000000069E-2</v>
      </c>
      <c r="O296" s="183">
        <f t="shared" si="112"/>
        <v>-5.4066110258620743E-2</v>
      </c>
      <c r="P296" s="249" t="b">
        <f t="shared" si="132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23"/>
        <v>49489.509999999951</v>
      </c>
      <c r="T296" s="248">
        <v>-44170</v>
      </c>
      <c r="U296" s="248">
        <f t="shared" si="124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21"/>
        <v>-0.15375505444769291</v>
      </c>
      <c r="Y296" s="807">
        <f t="shared" si="122"/>
        <v>-8.3758822451056841E-2</v>
      </c>
    </row>
    <row r="297" spans="1:25" ht="20.100000000000001" customHeight="1" x14ac:dyDescent="0.25">
      <c r="A297" s="163">
        <f t="shared" si="119"/>
        <v>436</v>
      </c>
      <c r="B297" s="242">
        <v>42669</v>
      </c>
      <c r="C297" s="243">
        <v>2139.4299999999998</v>
      </c>
      <c r="D297" s="171">
        <f t="shared" si="134"/>
        <v>-1.7404206872095496E-3</v>
      </c>
      <c r="E297" s="244">
        <f t="shared" si="129"/>
        <v>1.7593843343924099E-2</v>
      </c>
      <c r="F297" s="245">
        <v>5250.26</v>
      </c>
      <c r="G297" s="171">
        <f t="shared" si="133"/>
        <v>-6.2705952049725852E-3</v>
      </c>
      <c r="H297" s="246">
        <f t="shared" si="130"/>
        <v>3.1140876328141956E-2</v>
      </c>
      <c r="I297" s="247">
        <v>374681.1</v>
      </c>
      <c r="J297" s="248">
        <v>400000</v>
      </c>
      <c r="K297" s="248">
        <f t="shared" si="131"/>
        <v>437.44000000000233</v>
      </c>
      <c r="L297" s="171">
        <f>K297/I296</f>
        <v>1.1688641565764997E-3</v>
      </c>
      <c r="M297" s="249">
        <f t="shared" si="120"/>
        <v>-25318.900000000023</v>
      </c>
      <c r="N297" s="250">
        <f t="shared" si="128"/>
        <v>-6.3297250000000055E-2</v>
      </c>
      <c r="O297" s="183">
        <f t="shared" si="112"/>
        <v>-5.3025964592889954E-2</v>
      </c>
      <c r="P297" s="249" t="b">
        <f t="shared" si="132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23"/>
        <v>49325.149999999965</v>
      </c>
      <c r="T297" s="248">
        <v>-44067</v>
      </c>
      <c r="U297" s="248">
        <f t="shared" si="124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21"/>
        <v>-0.15105380108356853</v>
      </c>
      <c r="Y297" s="807">
        <f t="shared" si="122"/>
        <v>-8.089109334392415E-2</v>
      </c>
    </row>
    <row r="298" spans="1:25" ht="20.100000000000001" customHeight="1" x14ac:dyDescent="0.25">
      <c r="A298" s="163">
        <f t="shared" si="119"/>
        <v>437</v>
      </c>
      <c r="B298" s="242">
        <v>42670</v>
      </c>
      <c r="C298" s="243">
        <v>2133.04</v>
      </c>
      <c r="D298" s="171">
        <f t="shared" si="134"/>
        <v>-2.9867768517782183E-3</v>
      </c>
      <c r="E298" s="244">
        <f t="shared" si="129"/>
        <v>1.4554517608112435E-2</v>
      </c>
      <c r="F298" s="245">
        <v>5215.97</v>
      </c>
      <c r="G298" s="171">
        <f t="shared" si="133"/>
        <v>-6.5311051262223136E-3</v>
      </c>
      <c r="H298" s="246">
        <f t="shared" si="130"/>
        <v>2.440638686489786E-2</v>
      </c>
      <c r="I298" s="247">
        <v>371125.09</v>
      </c>
      <c r="J298" s="248">
        <v>400000</v>
      </c>
      <c r="K298" s="248">
        <f t="shared" si="131"/>
        <v>-3556.0099999999511</v>
      </c>
      <c r="L298" s="171">
        <f>K298/I297</f>
        <v>-9.4907642792763005E-3</v>
      </c>
      <c r="M298" s="249">
        <f t="shared" si="120"/>
        <v>-28874.909999999974</v>
      </c>
      <c r="N298" s="250">
        <f t="shared" si="128"/>
        <v>-7.218727499999994E-2</v>
      </c>
      <c r="O298" s="183">
        <f t="shared" si="112"/>
        <v>-6.0335016461670429E-2</v>
      </c>
      <c r="P298" s="249" t="b">
        <f t="shared" si="132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23"/>
        <v>10178.240000000049</v>
      </c>
      <c r="T298" s="248">
        <v>-47280</v>
      </c>
      <c r="U298" s="248">
        <f t="shared" si="124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21"/>
        <v>-0.17210937682239094</v>
      </c>
      <c r="Y298" s="807">
        <f t="shared" si="122"/>
        <v>-8.6741792608112378E-2</v>
      </c>
    </row>
    <row r="299" spans="1:25" ht="20.100000000000001" customHeight="1" x14ac:dyDescent="0.25">
      <c r="A299" s="163">
        <f t="shared" si="119"/>
        <v>438</v>
      </c>
      <c r="B299" s="242">
        <v>42671</v>
      </c>
      <c r="C299" s="243">
        <v>2126.41</v>
      </c>
      <c r="D299" s="171">
        <f t="shared" si="134"/>
        <v>-3.1082398829839616E-3</v>
      </c>
      <c r="E299" s="244">
        <f t="shared" si="129"/>
        <v>1.1401038793021347E-2</v>
      </c>
      <c r="F299" s="245">
        <v>5190.1000000000004</v>
      </c>
      <c r="G299" s="171">
        <f t="shared" si="133"/>
        <v>-4.9597677900754585E-3</v>
      </c>
      <c r="H299" s="246">
        <f t="shared" si="130"/>
        <v>1.9325569063377762E-2</v>
      </c>
      <c r="I299" s="247">
        <v>366496.83</v>
      </c>
      <c r="J299" s="248">
        <v>400000</v>
      </c>
      <c r="K299" s="248">
        <f t="shared" si="131"/>
        <v>-4628.2600000000093</v>
      </c>
      <c r="L299" s="171">
        <f>K299/I298</f>
        <v>-1.2470889532152108E-2</v>
      </c>
      <c r="M299" s="249">
        <f t="shared" si="120"/>
        <v>-33503.169999999984</v>
      </c>
      <c r="N299" s="250">
        <f t="shared" si="128"/>
        <v>-8.3757924999999955E-2</v>
      </c>
      <c r="O299" s="183">
        <f t="shared" si="112"/>
        <v>-6.9846077868150641E-2</v>
      </c>
      <c r="P299" s="249" t="b">
        <f t="shared" si="132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23"/>
        <v>14389.570000000007</v>
      </c>
      <c r="T299" s="248">
        <v>-51134</v>
      </c>
      <c r="U299" s="248">
        <f t="shared" si="124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21"/>
        <v>-0.19946496806492994</v>
      </c>
      <c r="Y299" s="807">
        <f t="shared" si="122"/>
        <v>-9.5158963793021301E-2</v>
      </c>
    </row>
    <row r="300" spans="1:25" ht="20.100000000000001" customHeight="1" x14ac:dyDescent="0.25">
      <c r="A300" s="163">
        <f t="shared" si="119"/>
        <v>441</v>
      </c>
      <c r="B300" s="172">
        <v>42674</v>
      </c>
      <c r="C300" s="215">
        <v>2126.15</v>
      </c>
      <c r="D300" s="171">
        <f t="shared" si="134"/>
        <v>-1.2227181023403931E-4</v>
      </c>
      <c r="E300" s="209">
        <f t="shared" si="129"/>
        <v>1.1277372957135537E-2</v>
      </c>
      <c r="F300" s="219">
        <v>5189.13</v>
      </c>
      <c r="G300" s="171">
        <f t="shared" si="133"/>
        <v>-1.8689427949370043E-4</v>
      </c>
      <c r="H300" s="203">
        <f t="shared" si="130"/>
        <v>1.9135062945578155E-2</v>
      </c>
      <c r="I300" s="414">
        <v>359986.87</v>
      </c>
      <c r="J300" s="173">
        <v>400000</v>
      </c>
      <c r="K300" s="173">
        <f t="shared" si="131"/>
        <v>-6509.960000000021</v>
      </c>
      <c r="L300" s="171">
        <f>K300/I299</f>
        <v>-1.7762663868061343E-2</v>
      </c>
      <c r="M300" s="182">
        <f t="shared" si="120"/>
        <v>-40013.130000000005</v>
      </c>
      <c r="N300" s="184">
        <f t="shared" si="128"/>
        <v>-0.10003282500000001</v>
      </c>
      <c r="O300" s="183">
        <f t="shared" si="112"/>
        <v>-8.2850315943877567E-2</v>
      </c>
      <c r="P300" s="182" t="b">
        <f t="shared" si="132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23"/>
        <v>8803.820000000007</v>
      </c>
      <c r="T300" s="173">
        <v>-57393</v>
      </c>
      <c r="U300" s="173">
        <f t="shared" si="124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21"/>
        <v>-0.23673561404745108</v>
      </c>
      <c r="Y300" s="807">
        <f t="shared" si="122"/>
        <v>-0.11131019795713554</v>
      </c>
    </row>
    <row r="301" spans="1:25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34"/>
        <v>-6.7869153164171348E-3</v>
      </c>
      <c r="E301" s="209">
        <f t="shared" si="129"/>
        <v>4.4139190654666699E-3</v>
      </c>
      <c r="F301" s="219">
        <v>5153.57</v>
      </c>
      <c r="G301" s="171">
        <f t="shared" si="133"/>
        <v>-6.8527864979294022E-3</v>
      </c>
      <c r="H301" s="203">
        <f t="shared" si="130"/>
        <v>1.2151147946658267E-2</v>
      </c>
      <c r="I301" s="221">
        <v>360227.22</v>
      </c>
      <c r="J301" s="173">
        <v>400000</v>
      </c>
      <c r="K301" s="173">
        <f t="shared" si="131"/>
        <v>240.34999999997672</v>
      </c>
      <c r="L301" s="171">
        <f t="shared" ref="L301:L306" si="135">K301/I300</f>
        <v>6.6766324005088497E-4</v>
      </c>
      <c r="M301" s="182">
        <f t="shared" si="120"/>
        <v>-39772.780000000028</v>
      </c>
      <c r="N301" s="184">
        <f t="shared" si="128"/>
        <v>-9.9431950000000074E-2</v>
      </c>
      <c r="O301" s="183">
        <f t="shared" si="112"/>
        <v>-8.2166334247737616E-2</v>
      </c>
      <c r="P301" s="182" t="b">
        <f t="shared" si="132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23"/>
        <v>8913.4699999999721</v>
      </c>
      <c r="T301" s="173">
        <v>-56508</v>
      </c>
      <c r="U301" s="173">
        <f t="shared" si="124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21"/>
        <v>-0.23517595673222838</v>
      </c>
      <c r="Y301" s="807">
        <f t="shared" si="122"/>
        <v>-0.10384586906546675</v>
      </c>
    </row>
    <row r="302" spans="1:25" ht="20.100000000000001" customHeight="1" x14ac:dyDescent="0.25">
      <c r="A302" s="163">
        <f t="shared" ref="A302:A319" si="136">B302-$B$2</f>
        <v>443</v>
      </c>
      <c r="B302" s="172">
        <v>42676</v>
      </c>
      <c r="C302" s="215">
        <v>2097.94</v>
      </c>
      <c r="D302" s="171">
        <f t="shared" si="134"/>
        <v>-6.525486333415295E-3</v>
      </c>
      <c r="E302" s="209">
        <f t="shared" si="129"/>
        <v>-2.1403702364871293E-3</v>
      </c>
      <c r="F302" s="219">
        <v>5105.5600000000004</v>
      </c>
      <c r="G302" s="171">
        <f t="shared" si="133"/>
        <v>-9.3158722982319662E-3</v>
      </c>
      <c r="H302" s="203">
        <f t="shared" si="130"/>
        <v>2.7220771058783086E-3</v>
      </c>
      <c r="I302" s="221">
        <v>350822.36</v>
      </c>
      <c r="J302" s="173">
        <v>400000</v>
      </c>
      <c r="K302" s="173">
        <f t="shared" si="131"/>
        <v>-9404.859999999986</v>
      </c>
      <c r="L302" s="171">
        <f t="shared" si="135"/>
        <v>-2.6108132528130403E-2</v>
      </c>
      <c r="M302" s="182">
        <f t="shared" si="120"/>
        <v>-49177.640000000014</v>
      </c>
      <c r="N302" s="184">
        <f t="shared" si="128"/>
        <v>-0.12294410000000003</v>
      </c>
      <c r="O302" s="183">
        <f t="shared" si="112"/>
        <v>-0.10136643910835216</v>
      </c>
      <c r="P302" s="182" t="b">
        <f t="shared" si="132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23"/>
        <v>20534.059999999998</v>
      </c>
      <c r="T302" s="173">
        <v>-66283</v>
      </c>
      <c r="U302" s="173">
        <f t="shared" si="124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21"/>
        <v>-0.28992477868380434</v>
      </c>
      <c r="Y302" s="807">
        <f t="shared" si="122"/>
        <v>-0.1208037297635129</v>
      </c>
    </row>
    <row r="303" spans="1:25" ht="20.100000000000001" customHeight="1" x14ac:dyDescent="0.25">
      <c r="A303" s="163">
        <f t="shared" si="136"/>
        <v>444</v>
      </c>
      <c r="B303" s="172">
        <v>42677</v>
      </c>
      <c r="C303" s="215">
        <v>2088.66</v>
      </c>
      <c r="D303" s="171">
        <f t="shared" si="134"/>
        <v>-4.423386750812797E-3</v>
      </c>
      <c r="E303" s="209">
        <f t="shared" si="129"/>
        <v>-6.5542893019540152E-3</v>
      </c>
      <c r="F303" s="219">
        <v>5058.3999999999996</v>
      </c>
      <c r="G303" s="171">
        <f t="shared" si="133"/>
        <v>-9.2369886946781082E-3</v>
      </c>
      <c r="H303" s="203">
        <f t="shared" si="130"/>
        <v>-6.54005538425284E-3</v>
      </c>
      <c r="I303" s="221">
        <v>366923.87</v>
      </c>
      <c r="J303" s="173">
        <v>400000</v>
      </c>
      <c r="K303" s="173">
        <f t="shared" si="131"/>
        <v>16101.510000000009</v>
      </c>
      <c r="L303" s="171">
        <f t="shared" si="135"/>
        <v>4.5896475925878866E-2</v>
      </c>
      <c r="M303" s="182">
        <f t="shared" si="120"/>
        <v>-33076.130000000005</v>
      </c>
      <c r="N303" s="184">
        <f t="shared" si="128"/>
        <v>-8.2690325000000009E-2</v>
      </c>
      <c r="O303" s="183">
        <f t="shared" si="112"/>
        <v>-6.8023966680743245E-2</v>
      </c>
      <c r="P303" s="182" t="b">
        <f t="shared" si="132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23"/>
        <v>48955.520000000019</v>
      </c>
      <c r="T303" s="173">
        <v>-47877</v>
      </c>
      <c r="U303" s="173">
        <f t="shared" si="124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21"/>
        <v>-0.19349633461099588</v>
      </c>
      <c r="Y303" s="807">
        <f t="shared" si="122"/>
        <v>-7.6136035698046001E-2</v>
      </c>
    </row>
    <row r="304" spans="1:25" ht="20.100000000000001" customHeight="1" x14ac:dyDescent="0.25">
      <c r="A304" s="163">
        <f t="shared" si="136"/>
        <v>445</v>
      </c>
      <c r="B304" s="172">
        <v>42678</v>
      </c>
      <c r="C304" s="215">
        <v>2085.1799999999998</v>
      </c>
      <c r="D304" s="171">
        <f t="shared" si="134"/>
        <v>-1.6661400132142227E-3</v>
      </c>
      <c r="E304" s="209">
        <f t="shared" si="129"/>
        <v>-8.2095089515040708E-3</v>
      </c>
      <c r="F304" s="219">
        <v>5046.37</v>
      </c>
      <c r="G304" s="171">
        <f t="shared" si="133"/>
        <v>-2.3782223628024172E-3</v>
      </c>
      <c r="H304" s="203">
        <f t="shared" si="130"/>
        <v>-8.9027240410864596E-3</v>
      </c>
      <c r="I304" s="221">
        <v>362921.09</v>
      </c>
      <c r="J304" s="173">
        <v>400000</v>
      </c>
      <c r="K304" s="173">
        <f t="shared" si="131"/>
        <v>-4002.7799999999697</v>
      </c>
      <c r="L304" s="171">
        <f t="shared" si="135"/>
        <v>-1.0909020446121343E-2</v>
      </c>
      <c r="M304" s="182">
        <f t="shared" si="120"/>
        <v>-37078.909999999974</v>
      </c>
      <c r="N304" s="184">
        <f t="shared" si="128"/>
        <v>-9.269727499999994E-2</v>
      </c>
      <c r="O304" s="183">
        <f t="shared" si="112"/>
        <v>-7.6084673469101069E-2</v>
      </c>
      <c r="P304" s="182" t="b">
        <f t="shared" si="132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23"/>
        <v>33790.98000000004</v>
      </c>
      <c r="T304" s="173">
        <v>-52170</v>
      </c>
      <c r="U304" s="173">
        <f t="shared" si="124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21"/>
        <v>-0.21669404370203071</v>
      </c>
      <c r="Y304" s="807">
        <f t="shared" si="122"/>
        <v>-8.4487766048495866E-2</v>
      </c>
    </row>
    <row r="305" spans="1:25" ht="20.100000000000001" customHeight="1" x14ac:dyDescent="0.25">
      <c r="A305" s="163">
        <f t="shared" si="136"/>
        <v>468</v>
      </c>
      <c r="B305" s="242">
        <v>42701</v>
      </c>
      <c r="C305" s="243">
        <v>2213.35</v>
      </c>
      <c r="D305" s="171">
        <f t="shared" si="134"/>
        <v>6.1467115548777602E-2</v>
      </c>
      <c r="E305" s="244">
        <f t="shared" si="129"/>
        <v>5.2752991761952708E-2</v>
      </c>
      <c r="F305" s="245">
        <v>5398.92</v>
      </c>
      <c r="G305" s="171">
        <f t="shared" si="133"/>
        <v>6.9862098894849206E-2</v>
      </c>
      <c r="H305" s="246">
        <f t="shared" si="130"/>
        <v>6.0337411866370816E-2</v>
      </c>
      <c r="I305" s="553">
        <v>407026.88</v>
      </c>
      <c r="J305" s="248">
        <v>400000</v>
      </c>
      <c r="K305" s="248">
        <f t="shared" si="131"/>
        <v>44105.789999999979</v>
      </c>
      <c r="L305" s="171">
        <f t="shared" si="135"/>
        <v>0.12152997225925882</v>
      </c>
      <c r="M305" s="249">
        <f t="shared" si="120"/>
        <v>7026.8800000000047</v>
      </c>
      <c r="N305" s="250">
        <f t="shared" si="128"/>
        <v>1.7567200000000012E-2</v>
      </c>
      <c r="O305" s="183">
        <f t="shared" si="112"/>
        <v>1.3710298717948729E-2</v>
      </c>
      <c r="P305" s="249" t="b">
        <f t="shared" si="132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23"/>
        <v>124961.53999999998</v>
      </c>
      <c r="T305" s="248">
        <v>-28519</v>
      </c>
      <c r="U305" s="248">
        <f t="shared" si="124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21"/>
        <v>3.7299326544472711E-2</v>
      </c>
      <c r="Y305" s="807">
        <f t="shared" si="122"/>
        <v>-3.5185791761952696E-2</v>
      </c>
    </row>
    <row r="306" spans="1:25" ht="20.100000000000001" customHeight="1" x14ac:dyDescent="0.25">
      <c r="A306" s="163">
        <f t="shared" si="136"/>
        <v>469</v>
      </c>
      <c r="B306" s="172">
        <v>42702</v>
      </c>
      <c r="C306" s="215">
        <v>2201.7199999999998</v>
      </c>
      <c r="D306" s="171">
        <f t="shared" si="134"/>
        <v>-5.2544785054329905E-3</v>
      </c>
      <c r="E306" s="209">
        <f t="shared" si="129"/>
        <v>4.7221323795209255E-2</v>
      </c>
      <c r="F306" s="219">
        <v>5368.81</v>
      </c>
      <c r="G306" s="171">
        <f t="shared" si="133"/>
        <v>-5.5770413341927035E-3</v>
      </c>
      <c r="H306" s="203">
        <f t="shared" si="130"/>
        <v>5.4423866292201147E-2</v>
      </c>
      <c r="I306" s="221">
        <v>401105.48</v>
      </c>
      <c r="J306" s="173">
        <v>400000</v>
      </c>
      <c r="K306" s="173">
        <f t="shared" si="131"/>
        <v>-5921.4000000000233</v>
      </c>
      <c r="L306" s="171">
        <f t="shared" si="135"/>
        <v>-1.4547933541883089E-2</v>
      </c>
      <c r="M306" s="182">
        <f t="shared" si="120"/>
        <v>1105.4799999999814</v>
      </c>
      <c r="N306" s="184">
        <f t="shared" si="128"/>
        <v>2.7636999999999536E-3</v>
      </c>
      <c r="O306" s="183">
        <f t="shared" si="112"/>
        <v>2.1523271321961259E-3</v>
      </c>
      <c r="P306" s="182" t="b">
        <f t="shared" si="132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23"/>
        <v>114365.26000000001</v>
      </c>
      <c r="T306" s="173">
        <v>-27948</v>
      </c>
      <c r="U306" s="173">
        <f t="shared" si="124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21"/>
        <v>5.8610107881684305E-3</v>
      </c>
      <c r="Y306" s="807">
        <f t="shared" si="122"/>
        <v>-4.4457623795209303E-2</v>
      </c>
    </row>
    <row r="307" spans="1:25" ht="20.100000000000001" customHeight="1" x14ac:dyDescent="0.25">
      <c r="A307" s="163">
        <f t="shared" si="136"/>
        <v>470</v>
      </c>
      <c r="B307" s="172">
        <v>42703</v>
      </c>
      <c r="C307" s="215">
        <v>2204.66</v>
      </c>
      <c r="D307" s="171">
        <f t="shared" ref="D307:D316" si="137">(C307-C306)/C306</f>
        <v>1.3353196591755787E-3</v>
      </c>
      <c r="E307" s="209">
        <f t="shared" si="129"/>
        <v>4.8619699016380871E-2</v>
      </c>
      <c r="F307" s="219">
        <v>5379.91</v>
      </c>
      <c r="G307" s="171">
        <f t="shared" ref="G307:G321" si="138">(F307-F306)/F306</f>
        <v>2.0674972666195031E-3</v>
      </c>
      <c r="H307" s="203">
        <f t="shared" si="130"/>
        <v>5.6603884753618647E-2</v>
      </c>
      <c r="I307" s="221">
        <v>393567.36</v>
      </c>
      <c r="J307" s="173">
        <v>400000</v>
      </c>
      <c r="K307" s="173">
        <f t="shared" si="131"/>
        <v>-7538.1199999999953</v>
      </c>
      <c r="L307" s="171">
        <f t="shared" ref="L307:L321" si="139">K307/I306</f>
        <v>-1.8793360788788016E-2</v>
      </c>
      <c r="M307" s="182">
        <f t="shared" si="120"/>
        <v>-6432.640000000014</v>
      </c>
      <c r="N307" s="184">
        <f t="shared" si="128"/>
        <v>-1.6081600000000036E-2</v>
      </c>
      <c r="O307" s="183">
        <f t="shared" si="112"/>
        <v>-1.2497456170212794E-2</v>
      </c>
      <c r="P307" s="182" t="b">
        <f t="shared" si="132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23"/>
        <v>109939.06</v>
      </c>
      <c r="T307" s="173">
        <v>-33267</v>
      </c>
      <c r="U307" s="173">
        <f t="shared" si="124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21"/>
        <v>-3.4048734372640818E-2</v>
      </c>
      <c r="Y307" s="807">
        <f t="shared" si="122"/>
        <v>-6.4701299016380914E-2</v>
      </c>
    </row>
    <row r="308" spans="1:25" ht="20.100000000000001" customHeight="1" x14ac:dyDescent="0.25">
      <c r="A308" s="163">
        <f t="shared" si="136"/>
        <v>471</v>
      </c>
      <c r="B308" s="172">
        <v>42704</v>
      </c>
      <c r="C308" s="215">
        <v>2198.81</v>
      </c>
      <c r="D308" s="171">
        <f t="shared" si="137"/>
        <v>-2.6534703763845262E-3</v>
      </c>
      <c r="E308" s="209">
        <f t="shared" si="129"/>
        <v>4.5837217708947643E-2</v>
      </c>
      <c r="F308" s="219">
        <v>5323.68</v>
      </c>
      <c r="G308" s="171">
        <f t="shared" si="138"/>
        <v>-1.0451847707489449E-2</v>
      </c>
      <c r="H308" s="203">
        <f t="shared" si="130"/>
        <v>4.5560421863032087E-2</v>
      </c>
      <c r="I308" s="472">
        <v>366163.6</v>
      </c>
      <c r="J308" s="173">
        <v>350000</v>
      </c>
      <c r="K308" s="173">
        <f t="shared" si="131"/>
        <v>22596.239999999991</v>
      </c>
      <c r="L308" s="171">
        <f t="shared" si="139"/>
        <v>5.7413907494767838E-2</v>
      </c>
      <c r="M308" s="472">
        <f t="shared" si="120"/>
        <v>16163.599999999977</v>
      </c>
      <c r="N308" s="184">
        <f t="shared" si="128"/>
        <v>4.6181714285714222E-2</v>
      </c>
      <c r="O308" s="183">
        <f t="shared" si="112"/>
        <v>3.581288989990896E-2</v>
      </c>
      <c r="P308" s="182" t="b">
        <f t="shared" si="132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23"/>
        <v>118154.31999999998</v>
      </c>
      <c r="T308" s="173">
        <v>-30474</v>
      </c>
      <c r="U308" s="173">
        <f t="shared" si="124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21"/>
        <v>9.677489639838105E-2</v>
      </c>
      <c r="Y308" s="807">
        <f t="shared" si="122"/>
        <v>3.4449657676657863E-4</v>
      </c>
    </row>
    <row r="309" spans="1:25" ht="20.100000000000001" customHeight="1" x14ac:dyDescent="0.25">
      <c r="A309" s="163">
        <f t="shared" si="136"/>
        <v>472</v>
      </c>
      <c r="B309" s="172">
        <v>42705</v>
      </c>
      <c r="C309" s="215">
        <v>2191.08</v>
      </c>
      <c r="D309" s="171">
        <f t="shared" si="137"/>
        <v>-3.5155379500730025E-3</v>
      </c>
      <c r="E309" s="209">
        <f t="shared" si="129"/>
        <v>4.2160537280493078E-2</v>
      </c>
      <c r="F309" s="219">
        <v>5251.1</v>
      </c>
      <c r="G309" s="171">
        <f t="shared" si="138"/>
        <v>-1.3633426501968549E-2</v>
      </c>
      <c r="H309" s="203">
        <f t="shared" si="130"/>
        <v>3.1305850698195213E-2</v>
      </c>
      <c r="I309" s="221">
        <v>361692.5</v>
      </c>
      <c r="J309" s="173">
        <v>350000</v>
      </c>
      <c r="K309" s="173">
        <f t="shared" si="131"/>
        <v>-4471.0999999999767</v>
      </c>
      <c r="L309" s="171">
        <f t="shared" si="139"/>
        <v>-1.2210662119336758E-2</v>
      </c>
      <c r="M309" s="182">
        <f t="shared" si="120"/>
        <v>11692.5</v>
      </c>
      <c r="N309" s="184">
        <f t="shared" si="128"/>
        <v>3.3407142857142857E-2</v>
      </c>
      <c r="O309" s="183">
        <f t="shared" si="112"/>
        <v>2.5851607899515738E-2</v>
      </c>
      <c r="P309" s="182" t="b">
        <f t="shared" si="132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23"/>
        <v>107629.29999999999</v>
      </c>
      <c r="T309" s="173">
        <v>-33426</v>
      </c>
      <c r="U309" s="173">
        <f t="shared" si="124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21"/>
        <v>6.9936532128903758E-2</v>
      </c>
      <c r="Y309" s="807">
        <f t="shared" si="122"/>
        <v>-8.7533944233502206E-3</v>
      </c>
    </row>
    <row r="310" spans="1:25" ht="20.100000000000001" customHeight="1" x14ac:dyDescent="0.25">
      <c r="A310" s="163">
        <f t="shared" si="136"/>
        <v>473</v>
      </c>
      <c r="B310" s="172">
        <v>42706</v>
      </c>
      <c r="C310" s="215">
        <v>2191.9499999999998</v>
      </c>
      <c r="D310" s="171">
        <f t="shared" si="137"/>
        <v>3.9706446136147054E-4</v>
      </c>
      <c r="E310" s="209">
        <f t="shared" si="129"/>
        <v>4.2574342192880539E-2</v>
      </c>
      <c r="F310" s="219">
        <v>5255.65</v>
      </c>
      <c r="G310" s="171">
        <f t="shared" si="138"/>
        <v>8.664851174038339E-4</v>
      </c>
      <c r="H310" s="203">
        <f t="shared" si="130"/>
        <v>3.2199461869316694E-2</v>
      </c>
      <c r="I310" s="221">
        <v>313669.12</v>
      </c>
      <c r="J310" s="173">
        <v>300000</v>
      </c>
      <c r="K310" s="173">
        <f t="shared" si="131"/>
        <v>1976.6199999999953</v>
      </c>
      <c r="L310" s="171">
        <f t="shared" si="139"/>
        <v>5.4649184044457521E-3</v>
      </c>
      <c r="M310" s="182">
        <f t="shared" si="120"/>
        <v>13669.119999999995</v>
      </c>
      <c r="N310" s="184">
        <f t="shared" si="128"/>
        <v>4.5563733333333314E-2</v>
      </c>
      <c r="O310" s="183">
        <f t="shared" si="112"/>
        <v>3.5184257082452416E-2</v>
      </c>
      <c r="P310" s="182" t="b">
        <f t="shared" si="132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23"/>
        <v>59604.919999999984</v>
      </c>
      <c r="T310" s="173">
        <v>-33097</v>
      </c>
      <c r="U310" s="173">
        <f t="shared" si="124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21"/>
        <v>9.5333002650095297E-2</v>
      </c>
      <c r="Y310" s="807">
        <f t="shared" si="122"/>
        <v>2.9893911404527754E-3</v>
      </c>
    </row>
    <row r="311" spans="1:25" ht="20.100000000000001" customHeight="1" x14ac:dyDescent="0.25">
      <c r="A311" s="163">
        <f t="shared" si="136"/>
        <v>476</v>
      </c>
      <c r="B311" s="242">
        <v>42709</v>
      </c>
      <c r="C311" s="243">
        <v>2204.71</v>
      </c>
      <c r="D311" s="171">
        <f t="shared" si="137"/>
        <v>5.821300668354761E-3</v>
      </c>
      <c r="E311" s="244">
        <f t="shared" si="129"/>
        <v>4.8643480907897482E-2</v>
      </c>
      <c r="F311" s="245">
        <v>5308.89</v>
      </c>
      <c r="G311" s="171">
        <f t="shared" si="138"/>
        <v>1.0130050517062722E-2</v>
      </c>
      <c r="H311" s="246">
        <f t="shared" si="130"/>
        <v>4.2655694561737831E-2</v>
      </c>
      <c r="I311" s="553">
        <v>315749.27</v>
      </c>
      <c r="J311" s="248">
        <v>300000</v>
      </c>
      <c r="K311" s="248">
        <f t="shared" si="131"/>
        <v>2080.1500000000233</v>
      </c>
      <c r="L311" s="171">
        <f t="shared" si="139"/>
        <v>6.6316697034123837E-3</v>
      </c>
      <c r="M311" s="249">
        <f t="shared" si="120"/>
        <v>15749.270000000019</v>
      </c>
      <c r="N311" s="250">
        <f t="shared" si="128"/>
        <v>5.2497566666666731E-2</v>
      </c>
      <c r="O311" s="183">
        <f t="shared" si="112"/>
        <v>4.0283059296218532E-2</v>
      </c>
      <c r="P311" s="249" t="b">
        <f t="shared" si="132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23"/>
        <v>59386.920000000013</v>
      </c>
      <c r="T311" s="248">
        <v>-31763</v>
      </c>
      <c r="U311" s="248">
        <f t="shared" si="124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21"/>
        <v>0.10931436320149325</v>
      </c>
      <c r="Y311" s="807">
        <f t="shared" si="122"/>
        <v>3.854085758769249E-3</v>
      </c>
    </row>
    <row r="312" spans="1:25" ht="20.100000000000001" customHeight="1" x14ac:dyDescent="0.25">
      <c r="A312" s="163">
        <f t="shared" si="136"/>
        <v>477</v>
      </c>
      <c r="B312" s="242">
        <v>42710</v>
      </c>
      <c r="C312" s="243">
        <v>2212.23</v>
      </c>
      <c r="D312" s="171">
        <f t="shared" si="137"/>
        <v>3.4108794353905872E-3</v>
      </c>
      <c r="E312" s="244">
        <f t="shared" si="129"/>
        <v>5.2220277391982629E-2</v>
      </c>
      <c r="F312" s="245">
        <v>5333</v>
      </c>
      <c r="G312" s="171">
        <f t="shared" si="138"/>
        <v>4.5414389825367768E-3</v>
      </c>
      <c r="H312" s="246">
        <f t="shared" si="130"/>
        <v>4.7390851778384466E-2</v>
      </c>
      <c r="I312" s="553">
        <v>317812.25</v>
      </c>
      <c r="J312" s="248">
        <v>300000</v>
      </c>
      <c r="K312" s="248">
        <f t="shared" si="131"/>
        <v>2062.9799999999814</v>
      </c>
      <c r="L312" s="171">
        <f t="shared" si="139"/>
        <v>6.5336018037349102E-3</v>
      </c>
      <c r="M312" s="249">
        <f t="shared" ref="M312:M343" si="140">I312-J312</f>
        <v>17812.25</v>
      </c>
      <c r="N312" s="250">
        <f t="shared" si="128"/>
        <v>5.9374166666666665E-2</v>
      </c>
      <c r="O312" s="183">
        <f t="shared" si="112"/>
        <v>4.5464181079664566E-2</v>
      </c>
      <c r="P312" s="249" t="b">
        <f t="shared" si="132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23"/>
        <v>70335.549999999988</v>
      </c>
      <c r="T312" s="248">
        <v>-30573</v>
      </c>
      <c r="U312" s="248">
        <f t="shared" si="124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21"/>
        <v>0.1235616156331534</v>
      </c>
      <c r="Y312" s="807">
        <f t="shared" si="122"/>
        <v>7.153889274684036E-3</v>
      </c>
    </row>
    <row r="313" spans="1:25" ht="20.100000000000001" customHeight="1" x14ac:dyDescent="0.25">
      <c r="A313" s="163">
        <f t="shared" si="136"/>
        <v>478</v>
      </c>
      <c r="B313" s="242">
        <v>42711</v>
      </c>
      <c r="C313" s="243">
        <v>2241.35</v>
      </c>
      <c r="D313" s="171">
        <f t="shared" si="137"/>
        <v>1.316318827608336E-2</v>
      </c>
      <c r="E313" s="244">
        <f t="shared" si="129"/>
        <v>6.6070851011205953E-2</v>
      </c>
      <c r="F313" s="245">
        <v>5393.76</v>
      </c>
      <c r="G313" s="171">
        <f t="shared" si="138"/>
        <v>1.1393212075754776E-2</v>
      </c>
      <c r="H313" s="246">
        <f t="shared" si="130"/>
        <v>5.9323997878901039E-2</v>
      </c>
      <c r="I313" s="553">
        <v>321172.03999999998</v>
      </c>
      <c r="J313" s="248">
        <v>300000</v>
      </c>
      <c r="K313" s="248">
        <f t="shared" si="131"/>
        <v>3359.789999999979</v>
      </c>
      <c r="L313" s="171">
        <f t="shared" si="139"/>
        <v>1.0571618935393394E-2</v>
      </c>
      <c r="M313" s="249">
        <f t="shared" si="140"/>
        <v>21172.039999999979</v>
      </c>
      <c r="N313" s="250">
        <f t="shared" si="128"/>
        <v>7.0573466666666598E-2</v>
      </c>
      <c r="O313" s="183">
        <f t="shared" si="112"/>
        <v>5.3926691841004133E-2</v>
      </c>
      <c r="P313" s="249" t="b">
        <f t="shared" si="132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23"/>
        <v>100394.43999999997</v>
      </c>
      <c r="T313" s="248">
        <v>-30508</v>
      </c>
      <c r="U313" s="248">
        <f t="shared" si="124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21"/>
        <v>0.146755001912896</v>
      </c>
      <c r="Y313" s="807">
        <f t="shared" si="122"/>
        <v>4.5026156554606456E-3</v>
      </c>
    </row>
    <row r="314" spans="1:25" ht="20.100000000000001" customHeight="1" x14ac:dyDescent="0.25">
      <c r="A314" s="163">
        <f t="shared" si="136"/>
        <v>479</v>
      </c>
      <c r="B314" s="242">
        <v>42712</v>
      </c>
      <c r="C314" s="243">
        <v>2246.19</v>
      </c>
      <c r="D314" s="171">
        <f t="shared" si="137"/>
        <v>2.1594128538604618E-3</v>
      </c>
      <c r="E314" s="244">
        <f t="shared" si="129"/>
        <v>6.8372938110005513E-2</v>
      </c>
      <c r="F314" s="245">
        <v>5417.35</v>
      </c>
      <c r="G314" s="171">
        <f t="shared" si="138"/>
        <v>4.3735724244312211E-3</v>
      </c>
      <c r="H314" s="246">
        <f t="shared" si="130"/>
        <v>6.3957028104562441E-2</v>
      </c>
      <c r="I314" s="553">
        <v>322327.21999999997</v>
      </c>
      <c r="J314" s="248">
        <v>300000</v>
      </c>
      <c r="K314" s="248">
        <f t="shared" si="131"/>
        <v>1155.179999999993</v>
      </c>
      <c r="L314" s="171">
        <f t="shared" si="139"/>
        <v>3.596763902611177E-3</v>
      </c>
      <c r="M314" s="249">
        <f t="shared" si="140"/>
        <v>22327.219999999972</v>
      </c>
      <c r="N314" s="250">
        <f t="shared" si="128"/>
        <v>7.442406666666658E-2</v>
      </c>
      <c r="O314" s="183">
        <f t="shared" si="112"/>
        <v>5.6750293006262983E-2</v>
      </c>
      <c r="P314" s="249" t="b">
        <f t="shared" si="132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23"/>
        <v>106112.81999999998</v>
      </c>
      <c r="T314" s="248">
        <v>-30163</v>
      </c>
      <c r="U314" s="248">
        <f t="shared" si="124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21"/>
        <v>0.15468421288266263</v>
      </c>
      <c r="Y314" s="807">
        <f t="shared" si="122"/>
        <v>6.0511285566610673E-3</v>
      </c>
    </row>
    <row r="315" spans="1:25" ht="20.100000000000001" customHeight="1" x14ac:dyDescent="0.25">
      <c r="A315" s="163">
        <f t="shared" si="136"/>
        <v>480</v>
      </c>
      <c r="B315" s="242">
        <v>42713</v>
      </c>
      <c r="C315" s="243">
        <v>2259.5300000000002</v>
      </c>
      <c r="D315" s="171">
        <f t="shared" si="137"/>
        <v>5.9389455032744986E-3</v>
      </c>
      <c r="E315" s="244">
        <f t="shared" si="129"/>
        <v>7.4717946766614099E-2</v>
      </c>
      <c r="F315" s="245">
        <v>5444.49</v>
      </c>
      <c r="G315" s="171">
        <f t="shared" si="138"/>
        <v>5.0098295291977476E-3</v>
      </c>
      <c r="H315" s="246">
        <f t="shared" si="130"/>
        <v>6.9287271441758155E-2</v>
      </c>
      <c r="I315" s="553">
        <v>323626.28000000003</v>
      </c>
      <c r="J315" s="248">
        <v>300000</v>
      </c>
      <c r="K315" s="248">
        <f t="shared" si="131"/>
        <v>1299.0600000000559</v>
      </c>
      <c r="L315" s="171">
        <f t="shared" si="139"/>
        <v>4.0302522387034396E-3</v>
      </c>
      <c r="M315" s="249">
        <f t="shared" si="140"/>
        <v>23626.280000000028</v>
      </c>
      <c r="N315" s="250">
        <f t="shared" si="128"/>
        <v>7.8754266666666753E-2</v>
      </c>
      <c r="O315" s="183">
        <f t="shared" si="112"/>
        <v>5.9927074791666736E-2</v>
      </c>
      <c r="P315" s="249" t="b">
        <f t="shared" si="132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23"/>
        <v>119147.48000000004</v>
      </c>
      <c r="T315" s="248">
        <v>-28680</v>
      </c>
      <c r="U315" s="248">
        <f t="shared" si="124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21"/>
        <v>0.16360029408222659</v>
      </c>
      <c r="Y315" s="807">
        <f t="shared" si="122"/>
        <v>4.036319900052654E-3</v>
      </c>
    </row>
    <row r="316" spans="1:25" ht="20.100000000000001" customHeight="1" x14ac:dyDescent="0.25">
      <c r="A316" s="163">
        <f t="shared" si="136"/>
        <v>483</v>
      </c>
      <c r="B316" s="172">
        <v>42716</v>
      </c>
      <c r="C316" s="215">
        <v>2256.96</v>
      </c>
      <c r="D316" s="171">
        <f t="shared" si="137"/>
        <v>-1.137404681504633E-3</v>
      </c>
      <c r="E316" s="209">
        <f t="shared" si="129"/>
        <v>7.3495557542664708E-2</v>
      </c>
      <c r="F316" s="219">
        <v>5412.54</v>
      </c>
      <c r="G316" s="171">
        <f t="shared" si="138"/>
        <v>-5.8683182446840421E-3</v>
      </c>
      <c r="H316" s="203">
        <f t="shared" si="130"/>
        <v>6.301235343794806E-2</v>
      </c>
      <c r="I316" s="221">
        <v>324351.42</v>
      </c>
      <c r="J316" s="173">
        <v>300000</v>
      </c>
      <c r="K316" s="173">
        <f t="shared" si="131"/>
        <v>725.13999999995576</v>
      </c>
      <c r="L316" s="171">
        <f t="shared" si="139"/>
        <v>2.2406709368595025E-3</v>
      </c>
      <c r="M316" s="182">
        <f t="shared" si="140"/>
        <v>24351.419999999984</v>
      </c>
      <c r="N316" s="184">
        <f t="shared" si="128"/>
        <v>8.1171399999999949E-2</v>
      </c>
      <c r="O316" s="183">
        <f t="shared" si="112"/>
        <v>6.1382720186335366E-2</v>
      </c>
      <c r="P316" s="182" t="b">
        <f t="shared" si="132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23"/>
        <v>93895.319999999978</v>
      </c>
      <c r="T316" s="173">
        <v>-29165</v>
      </c>
      <c r="U316" s="173">
        <f t="shared" si="124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21"/>
        <v>0.16784142733917065</v>
      </c>
      <c r="Y316" s="807">
        <f t="shared" si="122"/>
        <v>7.6758424573352413E-3</v>
      </c>
    </row>
    <row r="317" spans="1:25" ht="20.100000000000001" customHeight="1" x14ac:dyDescent="0.25">
      <c r="A317" s="163">
        <f t="shared" si="136"/>
        <v>484</v>
      </c>
      <c r="B317" s="172">
        <v>42717</v>
      </c>
      <c r="C317" s="215">
        <v>2271.7199999999998</v>
      </c>
      <c r="D317" s="171">
        <f t="shared" ref="D317:D324" si="141">(C317-C316)/C316</f>
        <v>6.539770310506063E-3</v>
      </c>
      <c r="E317" s="209">
        <f t="shared" si="129"/>
        <v>8.051597191834238E-2</v>
      </c>
      <c r="F317" s="219">
        <v>5463.82</v>
      </c>
      <c r="G317" s="171">
        <f t="shared" si="138"/>
        <v>9.47429487819023E-3</v>
      </c>
      <c r="H317" s="203">
        <f t="shared" si="130"/>
        <v>7.3083645933578162E-2</v>
      </c>
      <c r="I317" s="221">
        <v>326932.27</v>
      </c>
      <c r="J317" s="173">
        <v>300000</v>
      </c>
      <c r="K317" s="173">
        <f t="shared" si="131"/>
        <v>2580.8500000000349</v>
      </c>
      <c r="L317" s="171">
        <f t="shared" si="139"/>
        <v>7.9569560694386209E-3</v>
      </c>
      <c r="M317" s="182">
        <f t="shared" si="140"/>
        <v>26932.270000000019</v>
      </c>
      <c r="N317" s="184">
        <f t="shared" si="128"/>
        <v>8.9774233333333397E-2</v>
      </c>
      <c r="O317" s="183">
        <f t="shared" si="112"/>
        <v>6.7748013894628145E-2</v>
      </c>
      <c r="P317" s="182" t="b">
        <f t="shared" si="132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42">I317-R317</f>
        <v>99691.120000000024</v>
      </c>
      <c r="T317" s="173">
        <v>-28375</v>
      </c>
      <c r="U317" s="173">
        <f t="shared" ref="U317:U348" si="143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21"/>
        <v>0.18551325799973731</v>
      </c>
      <c r="Y317" s="807">
        <f t="shared" si="122"/>
        <v>9.2582614149910175E-3</v>
      </c>
    </row>
    <row r="318" spans="1:25" ht="20.100000000000001" customHeight="1" x14ac:dyDescent="0.25">
      <c r="A318" s="163">
        <f t="shared" si="136"/>
        <v>485</v>
      </c>
      <c r="B318" s="172">
        <v>42718</v>
      </c>
      <c r="C318" s="215">
        <v>2253.2800000000002</v>
      </c>
      <c r="D318" s="171">
        <f t="shared" si="141"/>
        <v>-8.1171975419504164E-3</v>
      </c>
      <c r="E318" s="209">
        <f t="shared" si="129"/>
        <v>7.1745210327048642E-2</v>
      </c>
      <c r="F318" s="219">
        <v>5436.67</v>
      </c>
      <c r="G318" s="171">
        <f t="shared" si="138"/>
        <v>-4.9690509570226764E-3</v>
      </c>
      <c r="H318" s="203">
        <f t="shared" si="130"/>
        <v>6.775143861578653E-2</v>
      </c>
      <c r="I318" s="221">
        <v>323187.58</v>
      </c>
      <c r="J318" s="173">
        <v>300000</v>
      </c>
      <c r="K318" s="173">
        <f t="shared" si="131"/>
        <v>-3744.6900000000023</v>
      </c>
      <c r="L318" s="171">
        <f t="shared" si="139"/>
        <v>-1.1454023795203827E-2</v>
      </c>
      <c r="M318" s="182">
        <f t="shared" si="140"/>
        <v>23187.580000000016</v>
      </c>
      <c r="N318" s="184">
        <f t="shared" ref="N318:N349" si="144">M318/J318</f>
        <v>7.7291933333333382E-2</v>
      </c>
      <c r="O318" s="183">
        <f t="shared" si="112"/>
        <v>5.8207997216494882E-2</v>
      </c>
      <c r="P318" s="182" t="b">
        <f t="shared" si="132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42"/>
        <v>95773.180000000022</v>
      </c>
      <c r="T318" s="173">
        <v>-28896</v>
      </c>
      <c r="U318" s="173">
        <f t="shared" si="143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21"/>
        <v>0.15957183390850352</v>
      </c>
      <c r="Y318" s="807">
        <f t="shared" si="122"/>
        <v>5.54672300628474E-3</v>
      </c>
    </row>
    <row r="319" spans="1:25" ht="20.100000000000001" customHeight="1" x14ac:dyDescent="0.25">
      <c r="A319" s="163">
        <f t="shared" si="136"/>
        <v>486</v>
      </c>
      <c r="B319" s="172">
        <v>42719</v>
      </c>
      <c r="C319" s="215">
        <v>2262.0300000000002</v>
      </c>
      <c r="D319" s="171">
        <f t="shared" si="141"/>
        <v>3.8832280053965771E-3</v>
      </c>
      <c r="E319" s="209">
        <f t="shared" si="129"/>
        <v>7.5907041342440279E-2</v>
      </c>
      <c r="F319" s="219">
        <v>5456.85</v>
      </c>
      <c r="G319" s="171">
        <f t="shared" si="138"/>
        <v>3.7118309553458811E-3</v>
      </c>
      <c r="H319" s="203">
        <f t="shared" si="130"/>
        <v>7.1714751458255704E-2</v>
      </c>
      <c r="I319" s="221">
        <v>324820.98</v>
      </c>
      <c r="J319" s="173">
        <v>300000</v>
      </c>
      <c r="K319" s="173">
        <f t="shared" si="131"/>
        <v>1633.3999999999651</v>
      </c>
      <c r="L319" s="171">
        <f t="shared" si="139"/>
        <v>5.0540308510616805E-3</v>
      </c>
      <c r="M319" s="182">
        <f t="shared" si="140"/>
        <v>24820.979999999981</v>
      </c>
      <c r="N319" s="184">
        <f t="shared" si="144"/>
        <v>8.2736599999999938E-2</v>
      </c>
      <c r="O319" s="183">
        <f t="shared" si="112"/>
        <v>6.2180129938271558E-2</v>
      </c>
      <c r="P319" s="182" t="b">
        <f t="shared" si="132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42"/>
        <v>92655.18</v>
      </c>
      <c r="T319" s="173">
        <v>-28562</v>
      </c>
      <c r="U319" s="173">
        <f t="shared" si="143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21"/>
        <v>0.17072196461028116</v>
      </c>
      <c r="Y319" s="807">
        <f t="shared" si="122"/>
        <v>6.829558657559659E-3</v>
      </c>
    </row>
    <row r="320" spans="1:25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41"/>
        <v>-1.7506399119375233E-3</v>
      </c>
      <c r="E320" s="209">
        <f t="shared" ref="E320:E351" si="145">(C320-$C$2)/$C$2</f>
        <v>7.4023515534331591E-2</v>
      </c>
      <c r="F320" s="219">
        <v>5437.16</v>
      </c>
      <c r="G320" s="171">
        <f t="shared" si="138"/>
        <v>-3.6083088228557698E-3</v>
      </c>
      <c r="H320" s="203">
        <f t="shared" ref="H320:H351" si="146">(F320-F$2)/F$2</f>
        <v>6.7847673664984204E-2</v>
      </c>
      <c r="I320" s="221">
        <v>327045.52</v>
      </c>
      <c r="J320" s="173">
        <v>300000</v>
      </c>
      <c r="K320" s="173">
        <f t="shared" ref="K320:K351" si="147">I320-I319-J320+J319</f>
        <v>2224.5400000000373</v>
      </c>
      <c r="L320" s="171">
        <f t="shared" si="139"/>
        <v>6.8485108320282678E-3</v>
      </c>
      <c r="M320" s="182">
        <f t="shared" si="140"/>
        <v>27045.520000000019</v>
      </c>
      <c r="N320" s="184">
        <f t="shared" si="144"/>
        <v>9.01517333333334E-2</v>
      </c>
      <c r="O320" s="183">
        <f t="shared" si="112"/>
        <v>6.7613800000000057E-2</v>
      </c>
      <c r="P320" s="182" t="b">
        <f t="shared" ref="P320:P351" si="148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42"/>
        <v>95632.680000000022</v>
      </c>
      <c r="T320" s="173">
        <v>-28561</v>
      </c>
      <c r="U320" s="173">
        <f t="shared" si="143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21"/>
        <v>0.18591356771614484</v>
      </c>
      <c r="Y320" s="807">
        <f t="shared" si="122"/>
        <v>1.6128217799001809E-2</v>
      </c>
    </row>
    <row r="321" spans="1:25" ht="20.100000000000001" customHeight="1" x14ac:dyDescent="0.25">
      <c r="A321" s="163">
        <f t="shared" ref="A321:A384" si="149">B321-$B$2</f>
        <v>490</v>
      </c>
      <c r="B321" s="242">
        <v>42723</v>
      </c>
      <c r="C321" s="243">
        <v>2262.5300000000002</v>
      </c>
      <c r="D321" s="171">
        <f t="shared" si="141"/>
        <v>1.9751380603790121E-3</v>
      </c>
      <c r="E321" s="244">
        <f t="shared" si="145"/>
        <v>7.6144860257605515E-2</v>
      </c>
      <c r="F321" s="245">
        <v>5457.44</v>
      </c>
      <c r="G321" s="171">
        <f t="shared" si="138"/>
        <v>3.7298883976192988E-3</v>
      </c>
      <c r="H321" s="246">
        <f t="shared" si="146"/>
        <v>7.1830626313411985E-2</v>
      </c>
      <c r="I321" s="553">
        <v>327054.27</v>
      </c>
      <c r="J321" s="248">
        <v>300000</v>
      </c>
      <c r="K321" s="248">
        <f t="shared" si="147"/>
        <v>8.75</v>
      </c>
      <c r="L321" s="171">
        <f t="shared" si="139"/>
        <v>2.6754685402814872E-5</v>
      </c>
      <c r="M321" s="249">
        <f t="shared" si="140"/>
        <v>27054.270000000019</v>
      </c>
      <c r="N321" s="250">
        <f t="shared" si="144"/>
        <v>9.0180900000000064E-2</v>
      </c>
      <c r="O321" s="183">
        <f t="shared" si="112"/>
        <v>6.7221579030612294E-2</v>
      </c>
      <c r="P321" s="249" t="b">
        <f t="shared" si="148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42"/>
        <v>95640.430000000022</v>
      </c>
      <c r="T321" s="248">
        <v>-28148</v>
      </c>
      <c r="U321" s="248">
        <f t="shared" si="143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21"/>
        <v>0.18512609021101351</v>
      </c>
      <c r="Y321" s="807">
        <f t="shared" si="122"/>
        <v>1.4036039742394549E-2</v>
      </c>
    </row>
    <row r="322" spans="1:25" ht="20.100000000000001" customHeight="1" x14ac:dyDescent="0.25">
      <c r="A322" s="163">
        <f t="shared" si="149"/>
        <v>491</v>
      </c>
      <c r="B322" s="242">
        <v>42724</v>
      </c>
      <c r="C322" s="243">
        <v>2270.7600000000002</v>
      </c>
      <c r="D322" s="171">
        <f t="shared" si="141"/>
        <v>3.6375208284531112E-3</v>
      </c>
      <c r="E322" s="244">
        <f t="shared" si="145"/>
        <v>8.0059359601225316E-2</v>
      </c>
      <c r="F322" s="245">
        <v>5483.94</v>
      </c>
      <c r="G322" s="171">
        <f>(F322-F321)/F321</f>
        <v>4.8557565451933507E-3</v>
      </c>
      <c r="H322" s="246">
        <f t="shared" si="146"/>
        <v>7.7035174892472025E-2</v>
      </c>
      <c r="I322" s="553">
        <v>325810.98</v>
      </c>
      <c r="J322" s="248">
        <v>300000</v>
      </c>
      <c r="K322" s="248">
        <f t="shared" si="147"/>
        <v>-1243.2900000000373</v>
      </c>
      <c r="L322" s="171">
        <f>K322/I321</f>
        <v>-3.8014791857022296E-3</v>
      </c>
      <c r="M322" s="249">
        <f t="shared" si="140"/>
        <v>25810.979999999981</v>
      </c>
      <c r="N322" s="250">
        <f t="shared" si="144"/>
        <v>8.6036599999999935E-2</v>
      </c>
      <c r="O322" s="183">
        <f t="shared" si="112"/>
        <v>6.4001768126272868E-2</v>
      </c>
      <c r="P322" s="249" t="b">
        <f t="shared" si="148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42"/>
        <v>95177.68</v>
      </c>
      <c r="T322" s="248">
        <v>-28828</v>
      </c>
      <c r="U322" s="248">
        <f t="shared" si="143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21"/>
        <v>0.17652463506121255</v>
      </c>
      <c r="Y322" s="807">
        <f t="shared" si="122"/>
        <v>5.9772403987746192E-3</v>
      </c>
    </row>
    <row r="323" spans="1:25" ht="20.100000000000001" customHeight="1" x14ac:dyDescent="0.25">
      <c r="A323" s="163">
        <f t="shared" si="149"/>
        <v>492</v>
      </c>
      <c r="B323" s="242">
        <v>42725</v>
      </c>
      <c r="C323" s="243">
        <v>2265.1799999999998</v>
      </c>
      <c r="D323" s="171">
        <f t="shared" si="141"/>
        <v>-2.4573270623052994E-3</v>
      </c>
      <c r="E323" s="244">
        <f t="shared" si="145"/>
        <v>7.7405300507981098E-2</v>
      </c>
      <c r="F323" s="245">
        <v>5471.43</v>
      </c>
      <c r="G323" s="171">
        <f>(F323-F322)/F322</f>
        <v>-2.2812065777523659E-3</v>
      </c>
      <c r="H323" s="246">
        <f t="shared" si="146"/>
        <v>7.4578235167036641E-2</v>
      </c>
      <c r="I323" s="553">
        <v>324443.28000000003</v>
      </c>
      <c r="J323" s="248">
        <v>300000</v>
      </c>
      <c r="K323" s="248">
        <f t="shared" si="147"/>
        <v>-1367.6999999999534</v>
      </c>
      <c r="L323" s="171">
        <f t="shared" ref="L323:L386" si="150">K323/I322</f>
        <v>-4.1978327433899055E-3</v>
      </c>
      <c r="M323" s="249">
        <f t="shared" si="140"/>
        <v>24443.280000000028</v>
      </c>
      <c r="N323" s="250">
        <f t="shared" si="144"/>
        <v>8.1477600000000094E-2</v>
      </c>
      <c r="O323" s="183">
        <f t="shared" si="112"/>
        <v>6.0487181707317143E-2</v>
      </c>
      <c r="P323" s="249" t="b">
        <f t="shared" si="148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42"/>
        <v>92846.680000000022</v>
      </c>
      <c r="T323" s="248">
        <v>-28725</v>
      </c>
      <c r="U323" s="248">
        <f t="shared" si="143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21"/>
        <v>0.16707991812063958</v>
      </c>
      <c r="Y323" s="807">
        <f t="shared" si="122"/>
        <v>4.0722994920189964E-3</v>
      </c>
    </row>
    <row r="324" spans="1:25" ht="20.100000000000001" customHeight="1" x14ac:dyDescent="0.25">
      <c r="A324" s="163">
        <f t="shared" si="149"/>
        <v>493</v>
      </c>
      <c r="B324" s="242">
        <v>42726</v>
      </c>
      <c r="C324" s="243">
        <v>2260.96</v>
      </c>
      <c r="D324" s="171">
        <f t="shared" si="141"/>
        <v>-1.8629866059208541E-3</v>
      </c>
      <c r="E324" s="244">
        <f t="shared" si="145"/>
        <v>7.5398108863986596E-2</v>
      </c>
      <c r="F324" s="245">
        <v>5447.42</v>
      </c>
      <c r="G324" s="171">
        <f t="shared" ref="G324:G334" si="151">(F324-F323)/F323</f>
        <v>-4.3882495069845024E-3</v>
      </c>
      <c r="H324" s="246">
        <f t="shared" si="146"/>
        <v>6.9862717756348613E-2</v>
      </c>
      <c r="I324" s="553">
        <v>328249.78000000003</v>
      </c>
      <c r="J324" s="248">
        <v>300000</v>
      </c>
      <c r="K324" s="248">
        <f t="shared" si="147"/>
        <v>3806.5</v>
      </c>
      <c r="L324" s="171">
        <f t="shared" si="150"/>
        <v>1.1732405121782764E-2</v>
      </c>
      <c r="M324" s="249">
        <f t="shared" si="140"/>
        <v>28249.780000000028</v>
      </c>
      <c r="N324" s="250">
        <f t="shared" si="144"/>
        <v>9.4165933333333424E-2</v>
      </c>
      <c r="O324" s="183">
        <f t="shared" si="112"/>
        <v>6.9764923225152195E-2</v>
      </c>
      <c r="P324" s="249" t="b">
        <f t="shared" si="148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42"/>
        <v>92846.680000000022</v>
      </c>
      <c r="T324" s="248">
        <v>-28852</v>
      </c>
      <c r="U324" s="248">
        <f t="shared" si="143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21"/>
        <v>0.19293847326513064</v>
      </c>
      <c r="Y324" s="807">
        <f t="shared" si="122"/>
        <v>1.8767824469346828E-2</v>
      </c>
    </row>
    <row r="325" spans="1:25" ht="20.100000000000001" customHeight="1" x14ac:dyDescent="0.25">
      <c r="A325" s="163">
        <f t="shared" si="149"/>
        <v>494</v>
      </c>
      <c r="B325" s="242">
        <v>42727</v>
      </c>
      <c r="C325" s="243">
        <v>2263.79</v>
      </c>
      <c r="D325" s="171">
        <f t="shared" ref="D325:D334" si="152">(C325-C324)/C324</f>
        <v>1.251680702002657E-3</v>
      </c>
      <c r="E325" s="244">
        <f t="shared" si="145"/>
        <v>7.6744163923821801E-2</v>
      </c>
      <c r="F325" s="245">
        <v>5462.68</v>
      </c>
      <c r="G325" s="171">
        <f t="shared" si="151"/>
        <v>2.8013261323709604E-3</v>
      </c>
      <c r="H325" s="246">
        <f t="shared" si="146"/>
        <v>7.2859752145648896E-2</v>
      </c>
      <c r="I325" s="553">
        <v>329298.48</v>
      </c>
      <c r="J325" s="248">
        <v>300000</v>
      </c>
      <c r="K325" s="248">
        <f t="shared" si="147"/>
        <v>1048.6999999999534</v>
      </c>
      <c r="L325" s="171">
        <f t="shared" si="150"/>
        <v>3.1948231618006062E-3</v>
      </c>
      <c r="M325" s="249">
        <f t="shared" si="140"/>
        <v>29298.479999999981</v>
      </c>
      <c r="N325" s="250">
        <f t="shared" si="144"/>
        <v>9.7661599999999932E-2</v>
      </c>
      <c r="O325" s="183">
        <f t="shared" si="112"/>
        <v>7.2208298380566749E-2</v>
      </c>
      <c r="P325" s="249" t="b">
        <f t="shared" si="148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42"/>
        <v>92846.68</v>
      </c>
      <c r="T325" s="248">
        <v>-28456</v>
      </c>
      <c r="U325" s="248">
        <f t="shared" si="143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21"/>
        <v>0.20000309577218833</v>
      </c>
      <c r="Y325" s="807">
        <f t="shared" si="122"/>
        <v>2.0917436076178131E-2</v>
      </c>
    </row>
    <row r="326" spans="1:25" ht="20.100000000000001" customHeight="1" x14ac:dyDescent="0.25">
      <c r="A326" s="163">
        <f t="shared" si="149"/>
        <v>498</v>
      </c>
      <c r="B326" s="172">
        <v>42731</v>
      </c>
      <c r="C326" s="215">
        <v>2268.88</v>
      </c>
      <c r="D326" s="171">
        <f t="shared" si="152"/>
        <v>2.2484417724259521E-3</v>
      </c>
      <c r="E326" s="209">
        <f t="shared" si="145"/>
        <v>7.9165160480203972E-2</v>
      </c>
      <c r="F326" s="219">
        <v>5487.44</v>
      </c>
      <c r="G326" s="171">
        <f t="shared" si="151"/>
        <v>4.5325737550065736E-3</v>
      </c>
      <c r="H326" s="203">
        <f t="shared" si="146"/>
        <v>7.7722568101027123E-2</v>
      </c>
      <c r="I326" s="221">
        <v>330109.08</v>
      </c>
      <c r="J326" s="173">
        <v>300000</v>
      </c>
      <c r="K326" s="173">
        <f t="shared" si="147"/>
        <v>810.60000000003492</v>
      </c>
      <c r="L326" s="171">
        <f t="shared" si="150"/>
        <v>2.4615965430512614E-3</v>
      </c>
      <c r="M326" s="182">
        <f t="shared" si="140"/>
        <v>30109.080000000016</v>
      </c>
      <c r="N326" s="184">
        <f t="shared" si="144"/>
        <v>0.10036360000000005</v>
      </c>
      <c r="O326" s="183">
        <f t="shared" si="112"/>
        <v>7.3610050000000038E-2</v>
      </c>
      <c r="P326" s="182" t="b">
        <f t="shared" si="148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53">I326-R326</f>
        <v>92846.680000000022</v>
      </c>
      <c r="T326" s="173">
        <v>-28216</v>
      </c>
      <c r="U326" s="173">
        <f t="shared" si="143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21"/>
        <v>0.20420032878690758</v>
      </c>
      <c r="Y326" s="807">
        <f t="shared" si="122"/>
        <v>2.1198439519796081E-2</v>
      </c>
    </row>
    <row r="327" spans="1:25" ht="20.100000000000001" customHeight="1" x14ac:dyDescent="0.25">
      <c r="A327" s="163">
        <f t="shared" si="149"/>
        <v>499</v>
      </c>
      <c r="B327" s="172">
        <v>42732</v>
      </c>
      <c r="C327" s="215">
        <v>2249.92</v>
      </c>
      <c r="D327" s="171">
        <f t="shared" si="152"/>
        <v>-8.3565459610028016E-3</v>
      </c>
      <c r="E327" s="209">
        <f t="shared" si="145"/>
        <v>7.014706721713819E-2</v>
      </c>
      <c r="F327" s="219">
        <v>5438.55</v>
      </c>
      <c r="G327" s="171">
        <f t="shared" si="151"/>
        <v>-8.9094368229993264E-3</v>
      </c>
      <c r="H327" s="203">
        <f t="shared" si="146"/>
        <v>6.8120666967810425E-2</v>
      </c>
      <c r="I327" s="221">
        <v>326202.98</v>
      </c>
      <c r="J327" s="173">
        <v>300000</v>
      </c>
      <c r="K327" s="173">
        <f t="shared" si="147"/>
        <v>-3906.1000000000349</v>
      </c>
      <c r="L327" s="171">
        <f t="shared" si="150"/>
        <v>-1.1832755403153511E-2</v>
      </c>
      <c r="M327" s="182">
        <f t="shared" si="140"/>
        <v>26202.979999999981</v>
      </c>
      <c r="N327" s="184">
        <f t="shared" si="144"/>
        <v>8.73432666666666E-2</v>
      </c>
      <c r="O327" s="183">
        <f t="shared" ref="O327:O390" si="154">N327/(A327/365.25)</f>
        <v>6.3932120541082119E-2</v>
      </c>
      <c r="P327" s="182" t="b">
        <f t="shared" si="148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53"/>
        <v>90739.469999999972</v>
      </c>
      <c r="T327" s="173">
        <v>-29179</v>
      </c>
      <c r="U327" s="173">
        <f t="shared" si="143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21"/>
        <v>0.17754250344932124</v>
      </c>
      <c r="Y327" s="807">
        <f t="shared" si="122"/>
        <v>1.719619944952841E-2</v>
      </c>
    </row>
    <row r="328" spans="1:25" ht="20.100000000000001" customHeight="1" x14ac:dyDescent="0.25">
      <c r="A328" s="163">
        <f t="shared" si="149"/>
        <v>500</v>
      </c>
      <c r="B328" s="172">
        <v>42733</v>
      </c>
      <c r="C328" s="215">
        <v>2249.2600000000002</v>
      </c>
      <c r="D328" s="171">
        <f t="shared" si="152"/>
        <v>-2.9334376333374273E-4</v>
      </c>
      <c r="E328" s="209">
        <f t="shared" si="145"/>
        <v>6.983314624912014E-2</v>
      </c>
      <c r="F328" s="219">
        <v>5432.09</v>
      </c>
      <c r="G328" s="171">
        <f t="shared" si="151"/>
        <v>-1.1878166055290539E-3</v>
      </c>
      <c r="H328" s="203">
        <f t="shared" si="146"/>
        <v>6.6851935502877297E-2</v>
      </c>
      <c r="I328" s="221">
        <v>324645.53000000003</v>
      </c>
      <c r="J328" s="173">
        <v>300000</v>
      </c>
      <c r="K328" s="173">
        <f t="shared" si="147"/>
        <v>-1557.4499999999534</v>
      </c>
      <c r="L328" s="171">
        <f t="shared" si="150"/>
        <v>-4.774481214119974E-3</v>
      </c>
      <c r="M328" s="182">
        <f t="shared" si="140"/>
        <v>24645.530000000028</v>
      </c>
      <c r="N328" s="184">
        <f t="shared" si="144"/>
        <v>8.2151766666666765E-2</v>
      </c>
      <c r="O328" s="183">
        <f t="shared" si="154"/>
        <v>6.0011865550000078E-2</v>
      </c>
      <c r="P328" s="182" t="b">
        <f t="shared" si="148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53"/>
        <v>79069.73000000004</v>
      </c>
      <c r="T328" s="173">
        <v>-28777</v>
      </c>
      <c r="U328" s="173">
        <f t="shared" si="143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21"/>
        <v>0.16689746431015121</v>
      </c>
      <c r="Y328" s="807">
        <f t="shared" si="122"/>
        <v>1.2318620417546625E-2</v>
      </c>
    </row>
    <row r="329" spans="1:25" ht="20.100000000000001" customHeight="1" x14ac:dyDescent="0.25">
      <c r="A329" s="163">
        <f t="shared" si="149"/>
        <v>501</v>
      </c>
      <c r="B329" s="172">
        <v>42734</v>
      </c>
      <c r="C329" s="215">
        <v>2238.83</v>
      </c>
      <c r="D329" s="171">
        <f t="shared" si="152"/>
        <v>-4.6370806398550145E-3</v>
      </c>
      <c r="E329" s="209">
        <f t="shared" si="145"/>
        <v>6.4872243678773173E-2</v>
      </c>
      <c r="F329" s="219">
        <v>5383.11</v>
      </c>
      <c r="G329" s="171">
        <f t="shared" si="151"/>
        <v>-9.0167872770886472E-3</v>
      </c>
      <c r="H329" s="203">
        <f t="shared" si="146"/>
        <v>5.7232358544297555E-2</v>
      </c>
      <c r="I329" s="472">
        <v>322309.38</v>
      </c>
      <c r="J329" s="173">
        <v>300000</v>
      </c>
      <c r="K329" s="173">
        <f t="shared" si="147"/>
        <v>-2336.1500000000233</v>
      </c>
      <c r="L329" s="171">
        <f t="shared" si="150"/>
        <v>-7.1960023598662305E-3</v>
      </c>
      <c r="M329" s="472">
        <f t="shared" si="140"/>
        <v>22309.380000000005</v>
      </c>
      <c r="N329" s="184">
        <f t="shared" si="144"/>
        <v>7.4364600000000017E-2</v>
      </c>
      <c r="O329" s="183">
        <f t="shared" si="154"/>
        <v>5.4214910479041929E-2</v>
      </c>
      <c r="P329" s="182" t="b">
        <f t="shared" si="148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53"/>
        <v>77793.73000000001</v>
      </c>
      <c r="T329" s="173">
        <v>-29211</v>
      </c>
      <c r="U329" s="173">
        <f t="shared" si="143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21"/>
        <v>0.15097902912919137</v>
      </c>
      <c r="Y329" s="807">
        <f t="shared" si="122"/>
        <v>9.4923563212268441E-3</v>
      </c>
    </row>
    <row r="330" spans="1:25" ht="20.100000000000001" customHeight="1" x14ac:dyDescent="0.25">
      <c r="A330" s="163">
        <f t="shared" si="149"/>
        <v>505</v>
      </c>
      <c r="B330" s="242">
        <v>42738</v>
      </c>
      <c r="C330" s="243">
        <v>2257.83</v>
      </c>
      <c r="D330" s="171">
        <f t="shared" si="152"/>
        <v>8.4865755774221358E-3</v>
      </c>
      <c r="E330" s="244">
        <f t="shared" si="145"/>
        <v>7.3909362455052169E-2</v>
      </c>
      <c r="F330" s="245">
        <v>5429.08</v>
      </c>
      <c r="G330" s="171">
        <f t="shared" si="151"/>
        <v>8.5396731629114511E-3</v>
      </c>
      <c r="H330" s="246">
        <f t="shared" si="146"/>
        <v>6.6260777343519872E-2</v>
      </c>
      <c r="I330" s="553">
        <v>327489.65000000002</v>
      </c>
      <c r="J330" s="248">
        <v>300000</v>
      </c>
      <c r="K330" s="248">
        <f t="shared" si="147"/>
        <v>5180.2700000000186</v>
      </c>
      <c r="L330" s="171">
        <f t="shared" si="150"/>
        <v>1.6072352594888855E-2</v>
      </c>
      <c r="M330" s="249">
        <f t="shared" si="140"/>
        <v>27489.650000000023</v>
      </c>
      <c r="N330" s="250">
        <f t="shared" si="144"/>
        <v>9.1632166666666751E-2</v>
      </c>
      <c r="O330" s="183">
        <f t="shared" si="154"/>
        <v>6.6274552227722827E-2</v>
      </c>
      <c r="P330" s="249" t="b">
        <f t="shared" si="148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53"/>
        <v>80640.550000000017</v>
      </c>
      <c r="T330" s="248">
        <v>-28453</v>
      </c>
      <c r="U330" s="248">
        <f t="shared" si="143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21"/>
        <v>0.18471582747311505</v>
      </c>
      <c r="Y330" s="807">
        <f t="shared" si="122"/>
        <v>1.7722804211614582E-2</v>
      </c>
    </row>
    <row r="331" spans="1:25" ht="20.100000000000001" customHeight="1" x14ac:dyDescent="0.25">
      <c r="A331" s="163">
        <f t="shared" si="149"/>
        <v>506</v>
      </c>
      <c r="B331" s="242">
        <v>42739</v>
      </c>
      <c r="C331" s="243">
        <v>2270.75</v>
      </c>
      <c r="D331" s="171">
        <f t="shared" si="152"/>
        <v>5.7223085883348493E-3</v>
      </c>
      <c r="E331" s="244">
        <f t="shared" si="145"/>
        <v>8.0054603222921905E-2</v>
      </c>
      <c r="F331" s="245">
        <v>5477</v>
      </c>
      <c r="G331" s="171">
        <f t="shared" si="151"/>
        <v>8.8265415134792767E-3</v>
      </c>
      <c r="H331" s="246">
        <f t="shared" si="146"/>
        <v>7.5672172358937126E-2</v>
      </c>
      <c r="I331" s="553">
        <v>330177.02</v>
      </c>
      <c r="J331" s="248">
        <v>300000</v>
      </c>
      <c r="K331" s="248">
        <f t="shared" si="147"/>
        <v>2687.3699999999953</v>
      </c>
      <c r="L331" s="171">
        <f t="shared" si="150"/>
        <v>8.2059692573490349E-3</v>
      </c>
      <c r="M331" s="249">
        <f t="shared" si="140"/>
        <v>30177.020000000019</v>
      </c>
      <c r="N331" s="250">
        <f t="shared" si="144"/>
        <v>0.10059006666666673</v>
      </c>
      <c r="O331" s="183">
        <f t="shared" si="154"/>
        <v>7.2609726976284636E-2</v>
      </c>
      <c r="P331" s="249" t="b">
        <f t="shared" si="148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53"/>
        <v>93530.97000000003</v>
      </c>
      <c r="T331" s="248">
        <v>-27557</v>
      </c>
      <c r="U331" s="248">
        <f t="shared" si="143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21"/>
        <v>0.20264852898681948</v>
      </c>
      <c r="Y331" s="807">
        <f t="shared" si="122"/>
        <v>2.0535463443744822E-2</v>
      </c>
    </row>
    <row r="332" spans="1:25" ht="20.100000000000001" customHeight="1" x14ac:dyDescent="0.25">
      <c r="A332" s="163">
        <f t="shared" si="149"/>
        <v>507</v>
      </c>
      <c r="B332" s="242">
        <v>42740</v>
      </c>
      <c r="C332" s="332">
        <v>2269</v>
      </c>
      <c r="D332" s="171">
        <f t="shared" si="152"/>
        <v>-7.7067048332048887E-4</v>
      </c>
      <c r="E332" s="244">
        <f t="shared" si="145"/>
        <v>7.9222237019843586E-2</v>
      </c>
      <c r="F332" s="245">
        <v>5487.93</v>
      </c>
      <c r="G332" s="171">
        <f t="shared" si="151"/>
        <v>1.995618039072538E-3</v>
      </c>
      <c r="H332" s="246">
        <f t="shared" si="146"/>
        <v>7.7818803150224977E-2</v>
      </c>
      <c r="I332" s="553">
        <v>330571.57</v>
      </c>
      <c r="J332" s="248">
        <v>300000</v>
      </c>
      <c r="K332" s="248">
        <f t="shared" si="147"/>
        <v>394.54999999998836</v>
      </c>
      <c r="L332" s="171">
        <f t="shared" si="150"/>
        <v>1.1949650523830771E-3</v>
      </c>
      <c r="M332" s="249">
        <f t="shared" si="140"/>
        <v>30571.570000000007</v>
      </c>
      <c r="N332" s="250">
        <f t="shared" si="144"/>
        <v>0.10190523333333336</v>
      </c>
      <c r="O332" s="183">
        <f t="shared" si="154"/>
        <v>7.3413977268244598E-2</v>
      </c>
      <c r="P332" s="249" t="b">
        <f t="shared" si="148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5">I332-R332</f>
        <v>91351.47</v>
      </c>
      <c r="T332" s="248">
        <v>-27577</v>
      </c>
      <c r="U332" s="248">
        <f t="shared" si="143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21"/>
        <v>0.20520513266563087</v>
      </c>
      <c r="Y332" s="807">
        <f t="shared" si="122"/>
        <v>2.2682996313489773E-2</v>
      </c>
    </row>
    <row r="333" spans="1:25" ht="20.100000000000001" customHeight="1" x14ac:dyDescent="0.25">
      <c r="A333" s="163">
        <f t="shared" si="149"/>
        <v>508</v>
      </c>
      <c r="B333" s="242">
        <v>42741</v>
      </c>
      <c r="C333" s="332">
        <v>2276.98</v>
      </c>
      <c r="D333" s="171">
        <f t="shared" si="152"/>
        <v>3.516967827236676E-3</v>
      </c>
      <c r="E333" s="244">
        <f t="shared" si="145"/>
        <v>8.3017826905880762E-2</v>
      </c>
      <c r="F333" s="245">
        <v>5521.05</v>
      </c>
      <c r="G333" s="171">
        <f t="shared" si="151"/>
        <v>6.0350624005772466E-3</v>
      </c>
      <c r="H333" s="246">
        <f t="shared" si="146"/>
        <v>8.4323506883752064E-2</v>
      </c>
      <c r="I333" s="553">
        <v>329655.77</v>
      </c>
      <c r="J333" s="248">
        <v>300000</v>
      </c>
      <c r="K333" s="248">
        <f t="shared" si="147"/>
        <v>-915.79999999998836</v>
      </c>
      <c r="L333" s="171">
        <f t="shared" si="150"/>
        <v>-2.7703531794944988E-3</v>
      </c>
      <c r="M333" s="249">
        <f t="shared" si="140"/>
        <v>29655.770000000019</v>
      </c>
      <c r="N333" s="250">
        <f t="shared" si="144"/>
        <v>9.8852566666666725E-2</v>
      </c>
      <c r="O333" s="183">
        <f t="shared" si="154"/>
        <v>7.1074606250000047E-2</v>
      </c>
      <c r="P333" s="249" t="b">
        <f t="shared" si="148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5"/>
        <v>85071.120000000024</v>
      </c>
      <c r="T333" s="248">
        <v>-26799</v>
      </c>
      <c r="U333" s="248">
        <f t="shared" si="143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21"/>
        <v>0.19896034143970495</v>
      </c>
      <c r="Y333" s="807">
        <f t="shared" si="122"/>
        <v>1.5834739760785962E-2</v>
      </c>
    </row>
    <row r="334" spans="1:25" ht="20.100000000000001" customHeight="1" x14ac:dyDescent="0.25">
      <c r="A334" s="163">
        <f t="shared" si="149"/>
        <v>511</v>
      </c>
      <c r="B334" s="172">
        <v>42744</v>
      </c>
      <c r="C334" s="215">
        <v>2268.9</v>
      </c>
      <c r="D334" s="171">
        <f t="shared" si="152"/>
        <v>-3.5485599346502506E-3</v>
      </c>
      <c r="E334" s="209">
        <f t="shared" si="145"/>
        <v>7.9174673236810572E-2</v>
      </c>
      <c r="F334" s="219">
        <v>5531.81</v>
      </c>
      <c r="G334" s="171">
        <f t="shared" si="151"/>
        <v>1.9489046467610722E-3</v>
      </c>
      <c r="H334" s="203">
        <f t="shared" si="146"/>
        <v>8.6436750004910065E-2</v>
      </c>
      <c r="I334" s="221">
        <v>326473.82</v>
      </c>
      <c r="J334" s="173">
        <v>300000</v>
      </c>
      <c r="K334" s="173">
        <f t="shared" si="147"/>
        <v>-3181.9500000000116</v>
      </c>
      <c r="L334" s="171">
        <f t="shared" si="150"/>
        <v>-9.652341289218179E-3</v>
      </c>
      <c r="M334" s="182">
        <f t="shared" si="140"/>
        <v>26473.820000000007</v>
      </c>
      <c r="N334" s="184">
        <f t="shared" si="144"/>
        <v>8.8246066666666692E-2</v>
      </c>
      <c r="O334" s="183">
        <f t="shared" si="154"/>
        <v>6.3076077984344434E-2</v>
      </c>
      <c r="P334" s="182" t="b">
        <f t="shared" si="148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5"/>
        <v>85071.12</v>
      </c>
      <c r="T334" s="173">
        <v>-27249</v>
      </c>
      <c r="U334" s="173">
        <f t="shared" si="143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21"/>
        <v>0.17677986901473006</v>
      </c>
      <c r="Y334" s="807">
        <f t="shared" si="122"/>
        <v>9.07139342985612E-3</v>
      </c>
    </row>
    <row r="335" spans="1:25" ht="20.100000000000001" customHeight="1" x14ac:dyDescent="0.25">
      <c r="A335" s="163">
        <f t="shared" si="149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5"/>
        <v>7.9174673236810572E-2</v>
      </c>
      <c r="F335" s="219">
        <v>5551.81</v>
      </c>
      <c r="G335" s="171">
        <f t="shared" ref="G335:G358" si="156">(F335-F334)/F334</f>
        <v>3.6154531699389529E-3</v>
      </c>
      <c r="H335" s="203">
        <f t="shared" si="146"/>
        <v>9.0364711196653499E-2</v>
      </c>
      <c r="I335" s="221">
        <v>326978.32</v>
      </c>
      <c r="J335" s="173">
        <v>300000</v>
      </c>
      <c r="K335" s="173">
        <f t="shared" si="147"/>
        <v>504.5</v>
      </c>
      <c r="L335" s="171">
        <f t="shared" si="150"/>
        <v>1.545300018237297E-3</v>
      </c>
      <c r="M335" s="182">
        <f t="shared" si="140"/>
        <v>26978.320000000007</v>
      </c>
      <c r="N335" s="184">
        <f t="shared" si="144"/>
        <v>8.9927733333333357E-2</v>
      </c>
      <c r="O335" s="183">
        <f t="shared" si="154"/>
        <v>6.4152548046875021E-2</v>
      </c>
      <c r="P335" s="182" t="b">
        <f t="shared" si="148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5"/>
        <v>85071.12</v>
      </c>
      <c r="T335" s="173">
        <v>-27297</v>
      </c>
      <c r="U335" s="173">
        <f t="shared" si="143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21"/>
        <v>0.18006788381935301</v>
      </c>
      <c r="Y335" s="807">
        <f t="shared" si="122"/>
        <v>1.0753060096522785E-2</v>
      </c>
    </row>
    <row r="336" spans="1:25" ht="20.100000000000001" customHeight="1" x14ac:dyDescent="0.25">
      <c r="A336" s="163">
        <f t="shared" si="149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5"/>
        <v>8.2228268107532254E-2</v>
      </c>
      <c r="F336" s="219">
        <v>5563.64</v>
      </c>
      <c r="G336" s="171">
        <f t="shared" si="156"/>
        <v>2.1308366100424776E-3</v>
      </c>
      <c r="H336" s="203">
        <f t="shared" si="146"/>
        <v>9.2688100241569718E-2</v>
      </c>
      <c r="I336" s="221">
        <v>329085.82</v>
      </c>
      <c r="J336" s="173">
        <v>300000</v>
      </c>
      <c r="K336" s="173">
        <f t="shared" si="147"/>
        <v>2107.5</v>
      </c>
      <c r="L336" s="171">
        <f t="shared" si="150"/>
        <v>6.4453814552597856E-3</v>
      </c>
      <c r="M336" s="182">
        <f t="shared" si="140"/>
        <v>29085.820000000007</v>
      </c>
      <c r="N336" s="184">
        <f t="shared" si="144"/>
        <v>9.695273333333336E-2</v>
      </c>
      <c r="O336" s="183">
        <f t="shared" si="154"/>
        <v>6.9029212183235891E-2</v>
      </c>
      <c r="P336" s="182" t="b">
        <f t="shared" si="148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5"/>
        <v>77877.22</v>
      </c>
      <c r="T336" s="173">
        <v>-26997</v>
      </c>
      <c r="U336" s="173">
        <f t="shared" si="143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21"/>
        <v>0.19402887653191103</v>
      </c>
      <c r="Y336" s="807">
        <f t="shared" si="122"/>
        <v>1.4724465225801106E-2</v>
      </c>
    </row>
    <row r="337" spans="1:25" ht="20.100000000000001" customHeight="1" x14ac:dyDescent="0.25">
      <c r="A337" s="163">
        <f t="shared" si="149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5"/>
        <v>7.9907155495519494E-2</v>
      </c>
      <c r="F337" s="219">
        <v>5547.48</v>
      </c>
      <c r="G337" s="171">
        <f t="shared" si="156"/>
        <v>-2.9045732649849313E-3</v>
      </c>
      <c r="H337" s="203">
        <f t="shared" si="146"/>
        <v>8.9514307598640874E-2</v>
      </c>
      <c r="I337" s="221">
        <v>326943.46999999997</v>
      </c>
      <c r="J337" s="173">
        <v>300000</v>
      </c>
      <c r="K337" s="173">
        <f t="shared" si="147"/>
        <v>-2142.3500000000349</v>
      </c>
      <c r="L337" s="171">
        <f t="shared" si="150"/>
        <v>-6.5100039861943453E-3</v>
      </c>
      <c r="M337" s="182">
        <f t="shared" si="140"/>
        <v>26943.469999999972</v>
      </c>
      <c r="N337" s="184">
        <f t="shared" si="144"/>
        <v>8.9811566666666579E-2</v>
      </c>
      <c r="O337" s="183">
        <f t="shared" si="154"/>
        <v>6.3820378842412387E-2</v>
      </c>
      <c r="P337" s="182" t="b">
        <f t="shared" si="148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5"/>
        <v>77906.219999999972</v>
      </c>
      <c r="T337" s="173">
        <v>-27073</v>
      </c>
      <c r="U337" s="173">
        <f t="shared" si="143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21"/>
        <v>0.17962855911433181</v>
      </c>
      <c r="Y337" s="807">
        <f t="shared" si="122"/>
        <v>9.9044111711470845E-3</v>
      </c>
    </row>
    <row r="338" spans="1:25" ht="20.100000000000001" customHeight="1" x14ac:dyDescent="0.25">
      <c r="A338" s="163">
        <f t="shared" si="149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5"/>
        <v>8.1904834382907396E-2</v>
      </c>
      <c r="F338" s="219">
        <v>5574.12</v>
      </c>
      <c r="G338" s="171">
        <f t="shared" si="156"/>
        <v>4.8021804495014548E-3</v>
      </c>
      <c r="H338" s="203">
        <f t="shared" si="146"/>
        <v>9.4746351906043191E-2</v>
      </c>
      <c r="I338" s="221">
        <v>327247.34999999998</v>
      </c>
      <c r="J338" s="173">
        <v>300000</v>
      </c>
      <c r="K338" s="173">
        <f t="shared" si="147"/>
        <v>303.88000000000466</v>
      </c>
      <c r="L338" s="171">
        <f t="shared" si="150"/>
        <v>9.2945731566378945E-4</v>
      </c>
      <c r="M338" s="182">
        <f t="shared" si="140"/>
        <v>27247.349999999977</v>
      </c>
      <c r="N338" s="184">
        <f t="shared" si="144"/>
        <v>9.0824499999999919E-2</v>
      </c>
      <c r="O338" s="183">
        <f t="shared" si="154"/>
        <v>6.4414851699029066E-2</v>
      </c>
      <c r="P338" s="182" t="b">
        <f t="shared" si="148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5"/>
        <v>76415.049999999988</v>
      </c>
      <c r="T338" s="173">
        <v>-26980</v>
      </c>
      <c r="U338" s="173">
        <f t="shared" si="143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21"/>
        <v>0.18157294869763879</v>
      </c>
      <c r="Y338" s="807">
        <f t="shared" si="122"/>
        <v>8.9196656170925231E-3</v>
      </c>
    </row>
    <row r="339" spans="1:25" ht="20.100000000000001" customHeight="1" x14ac:dyDescent="0.25">
      <c r="A339" s="163">
        <f t="shared" si="149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5"/>
        <v>7.8694279028176703E-2</v>
      </c>
      <c r="F339" s="245">
        <v>5538.72</v>
      </c>
      <c r="G339" s="171">
        <f t="shared" si="156"/>
        <v>-6.3507782394350383E-3</v>
      </c>
      <c r="H339" s="246">
        <f t="shared" si="146"/>
        <v>8.7793860596657392E-2</v>
      </c>
      <c r="I339" s="553">
        <v>326901.49</v>
      </c>
      <c r="J339" s="248">
        <v>300000</v>
      </c>
      <c r="K339" s="248">
        <f t="shared" si="147"/>
        <v>-345.85999999998603</v>
      </c>
      <c r="L339" s="171">
        <f t="shared" si="150"/>
        <v>-1.0568763964016394E-3</v>
      </c>
      <c r="M339" s="249">
        <f t="shared" si="140"/>
        <v>26901.489999999991</v>
      </c>
      <c r="N339" s="250">
        <f t="shared" si="144"/>
        <v>8.9671633333333306E-2</v>
      </c>
      <c r="O339" s="183">
        <f t="shared" si="154"/>
        <v>6.3107059874759133E-2</v>
      </c>
      <c r="P339" s="249" t="b">
        <f t="shared" si="148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5"/>
        <v>80086.09</v>
      </c>
      <c r="T339" s="248">
        <v>-26747</v>
      </c>
      <c r="U339" s="248">
        <f t="shared" si="143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21"/>
        <v>0.17815011460615895</v>
      </c>
      <c r="Y339" s="807">
        <f t="shared" si="122"/>
        <v>1.0977354305156603E-2</v>
      </c>
    </row>
    <row r="340" spans="1:25" ht="20.100000000000001" customHeight="1" x14ac:dyDescent="0.25">
      <c r="A340" s="163">
        <f t="shared" si="149"/>
        <v>520</v>
      </c>
      <c r="B340" s="242">
        <v>42753</v>
      </c>
      <c r="C340" s="332">
        <v>2271.89</v>
      </c>
      <c r="D340" s="171">
        <f t="shared" ref="D340:D348" si="157">(C340-C339)/C339</f>
        <v>1.7637539739581726E-3</v>
      </c>
      <c r="E340" s="244">
        <f t="shared" si="145"/>
        <v>8.0596830349498591E-2</v>
      </c>
      <c r="F340" s="245">
        <v>5555.65</v>
      </c>
      <c r="G340" s="171">
        <f t="shared" si="156"/>
        <v>3.0566629112862504E-3</v>
      </c>
      <c r="H340" s="246">
        <f t="shared" si="146"/>
        <v>9.1118879745468076E-2</v>
      </c>
      <c r="I340" s="553">
        <v>326777.7</v>
      </c>
      <c r="J340" s="248">
        <v>300000</v>
      </c>
      <c r="K340" s="248">
        <f t="shared" si="147"/>
        <v>-123.78999999997905</v>
      </c>
      <c r="L340" s="171">
        <f t="shared" si="150"/>
        <v>-3.7867676895562345E-4</v>
      </c>
      <c r="M340" s="249">
        <f t="shared" si="140"/>
        <v>26777.700000000012</v>
      </c>
      <c r="N340" s="250">
        <f t="shared" si="144"/>
        <v>8.9259000000000033E-2</v>
      </c>
      <c r="O340" s="183">
        <f t="shared" si="154"/>
        <v>6.2695864903846182E-2</v>
      </c>
      <c r="P340" s="249" t="b">
        <f t="shared" si="148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5"/>
        <v>82152</v>
      </c>
      <c r="T340" s="248">
        <v>-26746</v>
      </c>
      <c r="U340" s="248">
        <f t="shared" si="143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21"/>
        <v>0.17725183671080766</v>
      </c>
      <c r="Y340" s="807">
        <f t="shared" si="122"/>
        <v>8.6621696505014417E-3</v>
      </c>
    </row>
    <row r="341" spans="1:25" ht="20.100000000000001" customHeight="1" x14ac:dyDescent="0.25">
      <c r="A341" s="163">
        <f t="shared" si="149"/>
        <v>521</v>
      </c>
      <c r="B341" s="242">
        <v>42754</v>
      </c>
      <c r="C341" s="332">
        <v>2263.69</v>
      </c>
      <c r="D341" s="171">
        <f t="shared" si="157"/>
        <v>-3.6093296770529464E-3</v>
      </c>
      <c r="E341" s="244">
        <f t="shared" si="145"/>
        <v>7.6696600140788801E-2</v>
      </c>
      <c r="F341" s="245">
        <v>5540.08</v>
      </c>
      <c r="G341" s="171">
        <f t="shared" si="156"/>
        <v>-2.8025523566098855E-3</v>
      </c>
      <c r="H341" s="246">
        <f t="shared" si="146"/>
        <v>8.8060961957695888E-2</v>
      </c>
      <c r="I341" s="553">
        <v>324862.34999999998</v>
      </c>
      <c r="J341" s="248">
        <v>300000</v>
      </c>
      <c r="K341" s="248">
        <f t="shared" si="147"/>
        <v>-1915.3500000000349</v>
      </c>
      <c r="L341" s="171">
        <f t="shared" si="150"/>
        <v>-5.8613240744397029E-3</v>
      </c>
      <c r="M341" s="249">
        <f t="shared" si="140"/>
        <v>24862.349999999977</v>
      </c>
      <c r="N341" s="250">
        <f t="shared" si="144"/>
        <v>8.287449999999992E-2</v>
      </c>
      <c r="O341" s="183">
        <f t="shared" si="154"/>
        <v>5.8099637476007625E-2</v>
      </c>
      <c r="P341" s="249" t="b">
        <f t="shared" si="148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5"/>
        <v>72922.599999999977</v>
      </c>
      <c r="T341" s="248">
        <v>-27278</v>
      </c>
      <c r="U341" s="248">
        <f t="shared" si="143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21"/>
        <v>0.16447970223656963</v>
      </c>
      <c r="Y341" s="807">
        <f t="shared" si="122"/>
        <v>6.1778998592111195E-3</v>
      </c>
    </row>
    <row r="342" spans="1:25" ht="20.100000000000001" customHeight="1" x14ac:dyDescent="0.25">
      <c r="A342" s="163">
        <f t="shared" si="149"/>
        <v>522</v>
      </c>
      <c r="B342" s="242">
        <v>42755</v>
      </c>
      <c r="C342" s="332">
        <v>2271.31</v>
      </c>
      <c r="D342" s="171">
        <f t="shared" si="157"/>
        <v>3.3661852992237853E-3</v>
      </c>
      <c r="E342" s="244">
        <f t="shared" si="145"/>
        <v>8.0320960407906955E-2</v>
      </c>
      <c r="F342" s="245">
        <v>5555.33</v>
      </c>
      <c r="G342" s="171">
        <f t="shared" si="156"/>
        <v>2.7526678315114585E-3</v>
      </c>
      <c r="H342" s="246">
        <f t="shared" si="146"/>
        <v>9.1056032366400239E-2</v>
      </c>
      <c r="I342" s="553">
        <v>326822.08</v>
      </c>
      <c r="J342" s="248">
        <v>300000</v>
      </c>
      <c r="K342" s="248">
        <f t="shared" si="147"/>
        <v>1959.7300000000396</v>
      </c>
      <c r="L342" s="171">
        <f t="shared" si="150"/>
        <v>6.0324934545355584E-3</v>
      </c>
      <c r="M342" s="249">
        <f t="shared" si="140"/>
        <v>26822.080000000016</v>
      </c>
      <c r="N342" s="250">
        <f t="shared" si="144"/>
        <v>8.9406933333333383E-2</v>
      </c>
      <c r="O342" s="183">
        <f t="shared" si="154"/>
        <v>6.2559161685823789E-2</v>
      </c>
      <c r="P342" s="249" t="b">
        <f t="shared" si="148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5"/>
        <v>63453.530000000028</v>
      </c>
      <c r="T342" s="248">
        <v>-27778</v>
      </c>
      <c r="U342" s="248">
        <f t="shared" si="143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21"/>
        <v>0.17735146711094335</v>
      </c>
      <c r="Y342" s="807">
        <f t="shared" si="122"/>
        <v>9.0859729254264276E-3</v>
      </c>
    </row>
    <row r="343" spans="1:25" ht="20.100000000000001" customHeight="1" x14ac:dyDescent="0.25">
      <c r="A343" s="163">
        <f t="shared" si="149"/>
        <v>525</v>
      </c>
      <c r="B343" s="172">
        <v>42758</v>
      </c>
      <c r="C343" s="215">
        <v>2265.1999999999998</v>
      </c>
      <c r="D343" s="171">
        <f t="shared" si="157"/>
        <v>-2.6900775323492289E-3</v>
      </c>
      <c r="E343" s="209">
        <f t="shared" si="145"/>
        <v>7.7414813264587698E-2</v>
      </c>
      <c r="F343" s="219">
        <v>5552.94</v>
      </c>
      <c r="G343" s="171">
        <f t="shared" si="156"/>
        <v>-4.3021746682921221E-4</v>
      </c>
      <c r="H343" s="203">
        <f t="shared" si="146"/>
        <v>9.0586641003986834E-2</v>
      </c>
      <c r="I343" s="221">
        <v>324687.64</v>
      </c>
      <c r="J343" s="173">
        <v>300000</v>
      </c>
      <c r="K343" s="173">
        <f t="shared" si="147"/>
        <v>-2134.4400000000023</v>
      </c>
      <c r="L343" s="171">
        <f t="shared" si="150"/>
        <v>-6.530892894384621E-3</v>
      </c>
      <c r="M343" s="182">
        <f t="shared" si="140"/>
        <v>24687.640000000014</v>
      </c>
      <c r="N343" s="184">
        <f t="shared" si="144"/>
        <v>8.2292133333333378E-2</v>
      </c>
      <c r="O343" s="183">
        <f t="shared" si="154"/>
        <v>5.7251812761904795E-2</v>
      </c>
      <c r="P343" s="182" t="b">
        <f t="shared" si="148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5"/>
        <v>62219.540000000037</v>
      </c>
      <c r="T343" s="173">
        <v>-28619</v>
      </c>
      <c r="U343" s="173">
        <f t="shared" si="143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21"/>
        <v>0.16251911409316919</v>
      </c>
      <c r="Y343" s="807">
        <f t="shared" si="122"/>
        <v>4.8773200687456802E-3</v>
      </c>
    </row>
    <row r="344" spans="1:25" ht="20.100000000000001" customHeight="1" x14ac:dyDescent="0.25">
      <c r="A344" s="163">
        <f t="shared" si="149"/>
        <v>526</v>
      </c>
      <c r="B344" s="172">
        <v>42759</v>
      </c>
      <c r="C344" s="215">
        <v>2280.0700000000002</v>
      </c>
      <c r="D344" s="171">
        <f t="shared" si="157"/>
        <v>6.5645417623169467E-3</v>
      </c>
      <c r="E344" s="209">
        <f t="shared" si="145"/>
        <v>8.4487547801602003E-2</v>
      </c>
      <c r="F344" s="219">
        <v>5600.95</v>
      </c>
      <c r="G344" s="171">
        <f t="shared" si="156"/>
        <v>8.6458704758200552E-3</v>
      </c>
      <c r="H344" s="203">
        <f t="shared" si="146"/>
        <v>0.10001571184476697</v>
      </c>
      <c r="I344" s="221">
        <v>328611.7</v>
      </c>
      <c r="J344" s="173">
        <v>300000</v>
      </c>
      <c r="K344" s="173">
        <f t="shared" si="147"/>
        <v>3924.0599999999977</v>
      </c>
      <c r="L344" s="171">
        <f t="shared" si="150"/>
        <v>1.208564637693014E-2</v>
      </c>
      <c r="M344" s="182">
        <f t="shared" ref="M344:M361" si="158">I344-J344</f>
        <v>28611.700000000012</v>
      </c>
      <c r="N344" s="184">
        <f t="shared" si="144"/>
        <v>9.5372333333333378E-2</v>
      </c>
      <c r="O344" s="183">
        <f t="shared" si="154"/>
        <v>6.62257504752852E-2</v>
      </c>
      <c r="P344" s="182" t="b">
        <f t="shared" si="148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5"/>
        <v>64494.450000000012</v>
      </c>
      <c r="T344" s="173">
        <v>-28448</v>
      </c>
      <c r="U344" s="173">
        <f t="shared" si="143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21"/>
        <v>0.18819698023765075</v>
      </c>
      <c r="Y344" s="807">
        <f t="shared" si="122"/>
        <v>1.0884785531731375E-2</v>
      </c>
    </row>
    <row r="345" spans="1:25" ht="20.100000000000001" customHeight="1" x14ac:dyDescent="0.25">
      <c r="A345" s="163">
        <f t="shared" si="149"/>
        <v>527</v>
      </c>
      <c r="B345" s="172">
        <v>42760</v>
      </c>
      <c r="C345" s="215">
        <v>2298.37</v>
      </c>
      <c r="D345" s="171">
        <f t="shared" si="157"/>
        <v>8.0260693750629254E-3</v>
      </c>
      <c r="E345" s="209">
        <f t="shared" si="145"/>
        <v>9.3191720096649527E-2</v>
      </c>
      <c r="F345" s="219">
        <v>5656.33</v>
      </c>
      <c r="G345" s="171">
        <f t="shared" si="156"/>
        <v>9.887608352154565E-3</v>
      </c>
      <c r="H345" s="203">
        <f t="shared" si="146"/>
        <v>0.11089223638470455</v>
      </c>
      <c r="I345" s="221">
        <v>331080.08</v>
      </c>
      <c r="J345" s="173">
        <v>300000</v>
      </c>
      <c r="K345" s="173">
        <f t="shared" si="147"/>
        <v>2468.3800000000047</v>
      </c>
      <c r="L345" s="171">
        <f t="shared" si="150"/>
        <v>7.511540216005713E-3</v>
      </c>
      <c r="M345" s="182">
        <f t="shared" si="158"/>
        <v>31080.080000000016</v>
      </c>
      <c r="N345" s="184">
        <f t="shared" si="144"/>
        <v>0.10360026666666672</v>
      </c>
      <c r="O345" s="183">
        <f t="shared" si="154"/>
        <v>7.1802651612903265E-2</v>
      </c>
      <c r="P345" s="182" t="b">
        <f t="shared" si="148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5"/>
        <v>71459.73000000001</v>
      </c>
      <c r="T345" s="173">
        <v>-28211</v>
      </c>
      <c r="U345" s="173">
        <f t="shared" si="143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21"/>
        <v>0.20431628466356189</v>
      </c>
      <c r="Y345" s="807">
        <f t="shared" si="122"/>
        <v>1.0408546570017191E-2</v>
      </c>
    </row>
    <row r="346" spans="1:25" ht="20.100000000000001" customHeight="1" x14ac:dyDescent="0.25">
      <c r="A346" s="163">
        <f t="shared" si="149"/>
        <v>528</v>
      </c>
      <c r="B346" s="172">
        <v>42761</v>
      </c>
      <c r="C346" s="215">
        <v>2296.6799999999998</v>
      </c>
      <c r="D346" s="171">
        <f t="shared" si="157"/>
        <v>-7.3530371524169506E-4</v>
      </c>
      <c r="E346" s="209">
        <f t="shared" si="145"/>
        <v>9.2387892163390994E-2</v>
      </c>
      <c r="F346" s="219">
        <v>5655.17</v>
      </c>
      <c r="G346" s="171">
        <f t="shared" si="156"/>
        <v>-2.0507997234953663E-4</v>
      </c>
      <c r="H346" s="203">
        <f t="shared" si="146"/>
        <v>0.11066441463558345</v>
      </c>
      <c r="I346" s="221">
        <v>330371.86</v>
      </c>
      <c r="J346" s="173">
        <v>300000</v>
      </c>
      <c r="K346" s="173">
        <f t="shared" si="147"/>
        <v>-708.22000000003027</v>
      </c>
      <c r="L346" s="171">
        <f t="shared" si="150"/>
        <v>-2.1391199373880488E-3</v>
      </c>
      <c r="M346" s="182">
        <f t="shared" si="158"/>
        <v>30371.859999999986</v>
      </c>
      <c r="N346" s="184">
        <f t="shared" si="144"/>
        <v>0.10123953333333328</v>
      </c>
      <c r="O346" s="183">
        <f t="shared" si="154"/>
        <v>7.0033597632575717E-2</v>
      </c>
      <c r="P346" s="182" t="b">
        <f t="shared" si="148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5"/>
        <v>68820.899999999994</v>
      </c>
      <c r="T346" s="173">
        <v>-28489</v>
      </c>
      <c r="U346" s="173">
        <f t="shared" si="143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21"/>
        <v>0.19956852128606997</v>
      </c>
      <c r="Y346" s="807">
        <f t="shared" si="122"/>
        <v>8.8516411699422898E-3</v>
      </c>
    </row>
    <row r="347" spans="1:25" ht="20.100000000000001" customHeight="1" x14ac:dyDescent="0.25">
      <c r="A347" s="163">
        <f t="shared" si="149"/>
        <v>529</v>
      </c>
      <c r="B347" s="172">
        <v>42762</v>
      </c>
      <c r="C347" s="215">
        <v>2294.69</v>
      </c>
      <c r="D347" s="171">
        <f t="shared" si="157"/>
        <v>-8.6646811919805194E-4</v>
      </c>
      <c r="E347" s="209">
        <f t="shared" si="145"/>
        <v>9.1441372881033461E-2</v>
      </c>
      <c r="F347" s="219">
        <v>5660.78</v>
      </c>
      <c r="G347" s="171">
        <f t="shared" si="156"/>
        <v>9.9201261854191345E-4</v>
      </c>
      <c r="H347" s="203">
        <f t="shared" si="146"/>
        <v>0.11176620774986742</v>
      </c>
      <c r="I347" s="221">
        <v>328778.71999999997</v>
      </c>
      <c r="J347" s="173">
        <v>300000</v>
      </c>
      <c r="K347" s="173">
        <f t="shared" si="147"/>
        <v>-1593.140000000014</v>
      </c>
      <c r="L347" s="171">
        <f t="shared" si="150"/>
        <v>-4.822263009930731E-3</v>
      </c>
      <c r="M347" s="182">
        <f t="shared" si="158"/>
        <v>28778.719999999972</v>
      </c>
      <c r="N347" s="184">
        <f t="shared" si="144"/>
        <v>9.5929066666666576E-2</v>
      </c>
      <c r="O347" s="183">
        <f t="shared" si="154"/>
        <v>6.6234577693761745E-2</v>
      </c>
      <c r="P347" s="182" t="b">
        <f t="shared" si="148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5"/>
        <v>70299.919999999984</v>
      </c>
      <c r="T347" s="173">
        <v>-28586</v>
      </c>
      <c r="U347" s="173">
        <f t="shared" si="143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9">O347/W347</f>
        <v>0.18900022357115012</v>
      </c>
      <c r="Y347" s="807">
        <f t="shared" ref="Y347:Y410" si="160">-(E347-N347)</f>
        <v>4.4876937856331151E-3</v>
      </c>
    </row>
    <row r="348" spans="1:25" ht="20.100000000000001" customHeight="1" x14ac:dyDescent="0.25">
      <c r="A348" s="163">
        <f t="shared" si="149"/>
        <v>532</v>
      </c>
      <c r="B348" s="242">
        <v>42765</v>
      </c>
      <c r="C348" s="332">
        <v>2280.9</v>
      </c>
      <c r="D348" s="171">
        <f t="shared" si="157"/>
        <v>-6.0095263412486928E-3</v>
      </c>
      <c r="E348" s="244">
        <f t="shared" si="145"/>
        <v>8.488232720077625E-2</v>
      </c>
      <c r="F348" s="245">
        <v>5613.71</v>
      </c>
      <c r="G348" s="171">
        <f t="shared" si="156"/>
        <v>-8.3151085186139919E-3</v>
      </c>
      <c r="H348" s="246">
        <f t="shared" si="146"/>
        <v>0.10252175108509932</v>
      </c>
      <c r="I348" s="553">
        <v>323091.52</v>
      </c>
      <c r="J348" s="248">
        <v>300000</v>
      </c>
      <c r="K348" s="248">
        <f t="shared" si="147"/>
        <v>-5687.1999999999534</v>
      </c>
      <c r="L348" s="171">
        <f t="shared" si="150"/>
        <v>-1.7297956510080561E-2</v>
      </c>
      <c r="M348" s="249">
        <f t="shared" si="158"/>
        <v>23091.520000000019</v>
      </c>
      <c r="N348" s="250">
        <f t="shared" si="144"/>
        <v>7.6971733333333389E-2</v>
      </c>
      <c r="O348" s="183">
        <f t="shared" si="154"/>
        <v>5.2845724812030113E-2</v>
      </c>
      <c r="P348" s="249" t="b">
        <f t="shared" si="148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5"/>
        <v>49958.920000000042</v>
      </c>
      <c r="T348" s="248">
        <v>-28819</v>
      </c>
      <c r="U348" s="248">
        <f t="shared" si="143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9"/>
        <v>0.15086824790202799</v>
      </c>
      <c r="Y348" s="807">
        <f t="shared" si="160"/>
        <v>-7.9105938674428611E-3</v>
      </c>
    </row>
    <row r="349" spans="1:25" ht="20.100000000000001" customHeight="1" x14ac:dyDescent="0.25">
      <c r="A349" s="163">
        <f t="shared" si="149"/>
        <v>533</v>
      </c>
      <c r="B349" s="242">
        <v>42766</v>
      </c>
      <c r="C349" s="332">
        <v>2278.87</v>
      </c>
      <c r="D349" s="171">
        <f t="shared" ref="D349:D363" si="161">(C349-C348)/C348</f>
        <v>-8.8999956157665837E-4</v>
      </c>
      <c r="E349" s="244">
        <f t="shared" si="145"/>
        <v>8.3916782405205295E-2</v>
      </c>
      <c r="F349" s="245">
        <v>5614.78</v>
      </c>
      <c r="G349" s="171">
        <f t="shared" si="156"/>
        <v>1.9060478720840743E-4</v>
      </c>
      <c r="H349" s="246">
        <f t="shared" si="146"/>
        <v>0.10273189700885754</v>
      </c>
      <c r="I349" s="583">
        <v>326440.17</v>
      </c>
      <c r="J349" s="248">
        <v>300000</v>
      </c>
      <c r="K349" s="248">
        <f t="shared" si="147"/>
        <v>3348.6499999999651</v>
      </c>
      <c r="L349" s="171">
        <f t="shared" si="150"/>
        <v>1.0364400774121107E-2</v>
      </c>
      <c r="M349" s="471">
        <f t="shared" si="158"/>
        <v>26440.169999999984</v>
      </c>
      <c r="N349" s="250">
        <f t="shared" si="144"/>
        <v>8.8133899999999946E-2</v>
      </c>
      <c r="O349" s="183">
        <f t="shared" si="154"/>
        <v>6.039569788930578E-2</v>
      </c>
      <c r="P349" s="249" t="b">
        <f t="shared" si="148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5"/>
        <v>56444.119999999995</v>
      </c>
      <c r="T349" s="248">
        <v>-28046</v>
      </c>
      <c r="U349" s="248">
        <f t="shared" ref="U349:U361" si="162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9"/>
        <v>0.17262427656792431</v>
      </c>
      <c r="Y349" s="807">
        <f t="shared" si="160"/>
        <v>4.2171175947946504E-3</v>
      </c>
    </row>
    <row r="350" spans="1:25" ht="20.100000000000001" customHeight="1" x14ac:dyDescent="0.25">
      <c r="A350" s="163">
        <f t="shared" si="149"/>
        <v>534</v>
      </c>
      <c r="B350" s="242">
        <v>42767</v>
      </c>
      <c r="C350" s="332">
        <v>2279.5500000000002</v>
      </c>
      <c r="D350" s="171">
        <f t="shared" si="161"/>
        <v>2.9839350204280678E-4</v>
      </c>
      <c r="E350" s="244">
        <f t="shared" si="145"/>
        <v>8.4240216129830167E-2</v>
      </c>
      <c r="F350" s="245">
        <v>5642.65</v>
      </c>
      <c r="G350" s="171">
        <f t="shared" si="156"/>
        <v>4.9636851310291569E-3</v>
      </c>
      <c r="H350" s="246">
        <f t="shared" si="146"/>
        <v>0.10820551092955198</v>
      </c>
      <c r="I350" s="553">
        <v>325798.71999999997</v>
      </c>
      <c r="J350" s="248">
        <v>300000</v>
      </c>
      <c r="K350" s="248">
        <f t="shared" si="147"/>
        <v>-641.45000000001164</v>
      </c>
      <c r="L350" s="171">
        <f t="shared" si="150"/>
        <v>-1.9649848852854464E-3</v>
      </c>
      <c r="M350" s="586">
        <f t="shared" si="158"/>
        <v>25798.719999999972</v>
      </c>
      <c r="N350" s="250">
        <f t="shared" ref="N350:N361" si="163">M350/J350</f>
        <v>8.5995733333333241E-2</v>
      </c>
      <c r="O350" s="183">
        <f t="shared" si="154"/>
        <v>5.8820115355805183E-2</v>
      </c>
      <c r="P350" s="249" t="b">
        <f t="shared" si="148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5"/>
        <v>57854.369999999995</v>
      </c>
      <c r="T350" s="248">
        <v>-28725</v>
      </c>
      <c r="U350" s="248">
        <f t="shared" si="162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9"/>
        <v>0.16836009332810997</v>
      </c>
      <c r="Y350" s="807">
        <f t="shared" si="160"/>
        <v>1.7555172035030736E-3</v>
      </c>
    </row>
    <row r="351" spans="1:25" ht="20.100000000000001" customHeight="1" x14ac:dyDescent="0.25">
      <c r="A351" s="163">
        <f t="shared" si="149"/>
        <v>535</v>
      </c>
      <c r="B351" s="242">
        <v>42768</v>
      </c>
      <c r="C351" s="332">
        <v>2280.85</v>
      </c>
      <c r="D351" s="171">
        <f t="shared" si="161"/>
        <v>5.7028799543757628E-4</v>
      </c>
      <c r="E351" s="244">
        <f t="shared" si="145"/>
        <v>8.4858545309259639E-2</v>
      </c>
      <c r="F351" s="245">
        <v>5636.19</v>
      </c>
      <c r="G351" s="171">
        <f t="shared" si="156"/>
        <v>-1.1448521528005524E-3</v>
      </c>
      <c r="H351" s="246">
        <f t="shared" si="146"/>
        <v>0.10693677946461885</v>
      </c>
      <c r="I351" s="553">
        <v>326587.24</v>
      </c>
      <c r="J351" s="248">
        <v>300000</v>
      </c>
      <c r="K351" s="248">
        <f t="shared" si="147"/>
        <v>788.52000000001863</v>
      </c>
      <c r="L351" s="171">
        <f t="shared" si="150"/>
        <v>2.4202673356114434E-3</v>
      </c>
      <c r="M351" s="586">
        <f t="shared" si="158"/>
        <v>26587.239999999991</v>
      </c>
      <c r="N351" s="250">
        <f t="shared" si="163"/>
        <v>8.8624133333333299E-2</v>
      </c>
      <c r="O351" s="183">
        <f t="shared" si="154"/>
        <v>6.0504606915887826E-2</v>
      </c>
      <c r="P351" s="249" t="b">
        <f t="shared" si="148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5"/>
        <v>54189.089999999967</v>
      </c>
      <c r="T351" s="248">
        <v>-29233</v>
      </c>
      <c r="U351" s="248">
        <f t="shared" si="162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9"/>
        <v>0.17342944921962195</v>
      </c>
      <c r="Y351" s="807">
        <f t="shared" si="160"/>
        <v>3.76558802407366E-3</v>
      </c>
    </row>
    <row r="352" spans="1:25" ht="20.100000000000001" customHeight="1" x14ac:dyDescent="0.25">
      <c r="A352" s="163">
        <f t="shared" si="149"/>
        <v>536</v>
      </c>
      <c r="B352" s="242">
        <v>42769</v>
      </c>
      <c r="C352" s="332">
        <v>2297.42</v>
      </c>
      <c r="D352" s="171">
        <f t="shared" si="161"/>
        <v>7.2648354780016945E-3</v>
      </c>
      <c r="E352" s="244">
        <f t="shared" ref="E352:E361" si="164">(C352-$C$2)/$C$2</f>
        <v>9.2739864157835666E-2</v>
      </c>
      <c r="F352" s="245">
        <v>5666.76</v>
      </c>
      <c r="G352" s="171">
        <f t="shared" si="156"/>
        <v>5.4238767678166672E-3</v>
      </c>
      <c r="H352" s="246">
        <f t="shared" ref="H352:H361" si="165">(F352-F$2)/F$2</f>
        <v>0.1129406681461988</v>
      </c>
      <c r="I352" s="553">
        <v>330217.57</v>
      </c>
      <c r="J352" s="248">
        <v>300000</v>
      </c>
      <c r="K352" s="248">
        <f t="shared" ref="K352:K361" si="166">I352-I351-J352+J351</f>
        <v>3630.3300000000163</v>
      </c>
      <c r="L352" s="171">
        <f t="shared" si="150"/>
        <v>1.1115957867796723E-2</v>
      </c>
      <c r="M352" s="586">
        <f t="shared" si="158"/>
        <v>30217.570000000007</v>
      </c>
      <c r="N352" s="250">
        <f t="shared" si="163"/>
        <v>0.10072523333333336</v>
      </c>
      <c r="O352" s="183">
        <f t="shared" si="154"/>
        <v>6.8637857229477628E-2</v>
      </c>
      <c r="P352" s="249" t="b">
        <f t="shared" ref="P352:P361" si="167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5"/>
        <v>69721.270000000019</v>
      </c>
      <c r="T352" s="248">
        <v>-28712</v>
      </c>
      <c r="U352" s="248">
        <f t="shared" si="162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9"/>
        <v>0.19696174383817347</v>
      </c>
      <c r="Y352" s="807">
        <f t="shared" si="160"/>
        <v>7.9853691754976919E-3</v>
      </c>
    </row>
    <row r="353" spans="1:25" ht="20.100000000000001" customHeight="1" x14ac:dyDescent="0.25">
      <c r="A353" s="163">
        <f t="shared" si="149"/>
        <v>539</v>
      </c>
      <c r="B353" s="172">
        <v>42772</v>
      </c>
      <c r="C353" s="215">
        <v>2292.56</v>
      </c>
      <c r="D353" s="171">
        <f t="shared" si="161"/>
        <v>-2.115416423640487E-3</v>
      </c>
      <c r="E353" s="209">
        <f t="shared" si="164"/>
        <v>9.0428264302429506E-2</v>
      </c>
      <c r="F353" s="219">
        <v>5663.55</v>
      </c>
      <c r="G353" s="171">
        <f t="shared" si="156"/>
        <v>-5.6646125828516407E-4</v>
      </c>
      <c r="H353" s="203">
        <f t="shared" si="165"/>
        <v>0.11231023037492398</v>
      </c>
      <c r="I353" s="221">
        <v>324431.87</v>
      </c>
      <c r="J353" s="173">
        <v>300000</v>
      </c>
      <c r="K353" s="173">
        <f t="shared" si="166"/>
        <v>-5785.7000000000116</v>
      </c>
      <c r="L353" s="171">
        <f t="shared" si="150"/>
        <v>-1.7520872677974135E-2</v>
      </c>
      <c r="M353" s="182">
        <f t="shared" si="158"/>
        <v>24431.869999999995</v>
      </c>
      <c r="N353" s="184">
        <f t="shared" si="163"/>
        <v>8.1439566666666657E-2</v>
      </c>
      <c r="O353" s="183">
        <f t="shared" si="154"/>
        <v>5.5187016187384037E-2</v>
      </c>
      <c r="P353" s="182" t="b">
        <f t="shared" si="167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5"/>
        <v>48618.020000000019</v>
      </c>
      <c r="T353" s="173">
        <v>-29700</v>
      </c>
      <c r="U353" s="173">
        <f t="shared" si="162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9"/>
        <v>0.15843360257830646</v>
      </c>
      <c r="Y353" s="807">
        <f t="shared" si="160"/>
        <v>-8.988697635762849E-3</v>
      </c>
    </row>
    <row r="354" spans="1:25" ht="20.100000000000001" customHeight="1" x14ac:dyDescent="0.25">
      <c r="A354" s="163">
        <f t="shared" si="149"/>
        <v>540</v>
      </c>
      <c r="B354" s="172">
        <v>42773</v>
      </c>
      <c r="C354" s="215">
        <v>2293.08</v>
      </c>
      <c r="D354" s="171">
        <f t="shared" si="161"/>
        <v>2.2682067208709122E-4</v>
      </c>
      <c r="E354" s="209">
        <f t="shared" si="164"/>
        <v>9.0675595974201342E-2</v>
      </c>
      <c r="F354" s="219">
        <v>5674.21</v>
      </c>
      <c r="G354" s="171">
        <f t="shared" si="156"/>
        <v>1.8822116870160683E-3</v>
      </c>
      <c r="H354" s="203">
        <f t="shared" si="165"/>
        <v>0.11440383369012319</v>
      </c>
      <c r="I354" s="221">
        <v>321983.64</v>
      </c>
      <c r="J354" s="173">
        <v>300000</v>
      </c>
      <c r="K354" s="173">
        <f t="shared" si="166"/>
        <v>-2448.2299999999814</v>
      </c>
      <c r="L354" s="171">
        <f t="shared" si="150"/>
        <v>-7.5462068507634022E-3</v>
      </c>
      <c r="M354" s="182">
        <f t="shared" si="158"/>
        <v>21983.640000000014</v>
      </c>
      <c r="N354" s="184">
        <f t="shared" si="163"/>
        <v>7.3278800000000047E-2</v>
      </c>
      <c r="O354" s="183">
        <f t="shared" si="154"/>
        <v>4.9564966111111143E-2</v>
      </c>
      <c r="P354" s="182" t="b">
        <f t="shared" si="167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5"/>
        <v>18464.640000000014</v>
      </c>
      <c r="T354" s="173">
        <v>-29290</v>
      </c>
      <c r="U354" s="173">
        <f t="shared" si="162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9"/>
        <v>0.14246806990794825</v>
      </c>
      <c r="Y354" s="807">
        <f t="shared" si="160"/>
        <v>-1.7396795974201296E-2</v>
      </c>
    </row>
    <row r="355" spans="1:25" ht="20.100000000000001" customHeight="1" x14ac:dyDescent="0.25">
      <c r="A355" s="163">
        <f t="shared" si="149"/>
        <v>541</v>
      </c>
      <c r="B355" s="172">
        <v>42774</v>
      </c>
      <c r="C355" s="215">
        <v>2294.67</v>
      </c>
      <c r="D355" s="171">
        <f t="shared" si="161"/>
        <v>6.9339054895605282E-4</v>
      </c>
      <c r="E355" s="209">
        <f t="shared" si="164"/>
        <v>9.1431860124426861E-2</v>
      </c>
      <c r="F355" s="219">
        <v>5682.45</v>
      </c>
      <c r="G355" s="171">
        <f t="shared" si="156"/>
        <v>1.4521845331772673E-3</v>
      </c>
      <c r="H355" s="203">
        <f t="shared" si="165"/>
        <v>0.11602215370112144</v>
      </c>
      <c r="I355" s="221">
        <v>320220.33</v>
      </c>
      <c r="J355" s="173">
        <v>300000</v>
      </c>
      <c r="K355" s="173">
        <f t="shared" si="166"/>
        <v>-1763.3099999999977</v>
      </c>
      <c r="L355" s="171">
        <f t="shared" si="150"/>
        <v>-5.4763962541699253E-3</v>
      </c>
      <c r="M355" s="182">
        <f t="shared" si="158"/>
        <v>20220.330000000016</v>
      </c>
      <c r="N355" s="184">
        <f t="shared" si="163"/>
        <v>6.7401100000000061E-2</v>
      </c>
      <c r="O355" s="183">
        <f t="shared" si="154"/>
        <v>4.5505086460258824E-2</v>
      </c>
      <c r="P355" s="182" t="b">
        <f t="shared" si="167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5"/>
        <v>27653.330000000016</v>
      </c>
      <c r="T355" s="173">
        <v>-30165</v>
      </c>
      <c r="U355" s="173">
        <f t="shared" si="162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9"/>
        <v>0.13097003544208369</v>
      </c>
      <c r="Y355" s="807">
        <f t="shared" si="160"/>
        <v>-2.40307601244268E-2</v>
      </c>
    </row>
    <row r="356" spans="1:25" ht="20.100000000000001" customHeight="1" x14ac:dyDescent="0.25">
      <c r="A356" s="163">
        <f t="shared" si="149"/>
        <v>542</v>
      </c>
      <c r="B356" s="172">
        <v>42775</v>
      </c>
      <c r="C356" s="215">
        <v>2307.87</v>
      </c>
      <c r="D356" s="171">
        <f t="shared" si="161"/>
        <v>5.7524611382027994E-3</v>
      </c>
      <c r="E356" s="209">
        <f t="shared" si="164"/>
        <v>9.7710279484789025E-2</v>
      </c>
      <c r="F356" s="219">
        <v>5715.18</v>
      </c>
      <c r="G356" s="171">
        <f t="shared" si="156"/>
        <v>5.7598395058470336E-3</v>
      </c>
      <c r="H356" s="203">
        <f t="shared" si="165"/>
        <v>0.12245026219140964</v>
      </c>
      <c r="I356" s="221">
        <v>320817.13</v>
      </c>
      <c r="J356" s="173">
        <v>300000</v>
      </c>
      <c r="K356" s="173">
        <f t="shared" si="166"/>
        <v>596.79999999998836</v>
      </c>
      <c r="L356" s="171">
        <f t="shared" si="150"/>
        <v>1.8637167727607686E-3</v>
      </c>
      <c r="M356" s="182">
        <f t="shared" si="158"/>
        <v>20817.130000000005</v>
      </c>
      <c r="N356" s="184">
        <f t="shared" si="163"/>
        <v>6.9390433333333348E-2</v>
      </c>
      <c r="O356" s="183">
        <f t="shared" si="154"/>
        <v>4.676172652214023E-2</v>
      </c>
      <c r="P356" s="182" t="b">
        <f t="shared" si="167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5"/>
        <v>16464.330000000016</v>
      </c>
      <c r="T356" s="173">
        <v>-31263</v>
      </c>
      <c r="U356" s="173">
        <f t="shared" si="162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9"/>
        <v>0.13477727544860021</v>
      </c>
      <c r="Y356" s="807">
        <f t="shared" si="160"/>
        <v>-2.8319846151455677E-2</v>
      </c>
    </row>
    <row r="357" spans="1:25" ht="20.100000000000001" customHeight="1" x14ac:dyDescent="0.25">
      <c r="A357" s="163">
        <f t="shared" si="149"/>
        <v>543</v>
      </c>
      <c r="B357" s="172">
        <v>42776</v>
      </c>
      <c r="C357" s="215">
        <v>2316.1</v>
      </c>
      <c r="D357" s="171">
        <f t="shared" si="161"/>
        <v>3.566058746809837E-3</v>
      </c>
      <c r="E357" s="209">
        <f t="shared" si="164"/>
        <v>0.10162477882840883</v>
      </c>
      <c r="F357" s="219">
        <v>5734.12</v>
      </c>
      <c r="G357" s="171">
        <f t="shared" si="156"/>
        <v>3.3139813619167896E-3</v>
      </c>
      <c r="H357" s="203">
        <f t="shared" si="165"/>
        <v>0.12617004143999058</v>
      </c>
      <c r="I357" s="221">
        <v>324003.01</v>
      </c>
      <c r="J357" s="173">
        <v>300000</v>
      </c>
      <c r="K357" s="173">
        <f t="shared" si="166"/>
        <v>3185.8800000000047</v>
      </c>
      <c r="L357" s="171">
        <f t="shared" si="150"/>
        <v>9.9305171142201939E-3</v>
      </c>
      <c r="M357" s="182">
        <f t="shared" si="158"/>
        <v>24003.010000000009</v>
      </c>
      <c r="N357" s="184">
        <f t="shared" si="163"/>
        <v>8.0010033333333369E-2</v>
      </c>
      <c r="O357" s="183">
        <f t="shared" si="154"/>
        <v>5.3818903637200759E-2</v>
      </c>
      <c r="P357" s="182" t="b">
        <f t="shared" si="167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5"/>
        <v>19197.859999999986</v>
      </c>
      <c r="T357" s="173">
        <v>-29099</v>
      </c>
      <c r="U357" s="173">
        <f t="shared" si="162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9"/>
        <v>0.15529762201536013</v>
      </c>
      <c r="Y357" s="807">
        <f t="shared" si="160"/>
        <v>-2.1614745495075458E-2</v>
      </c>
    </row>
    <row r="358" spans="1:25" ht="20.100000000000001" customHeight="1" x14ac:dyDescent="0.25">
      <c r="A358" s="163">
        <f t="shared" si="149"/>
        <v>546</v>
      </c>
      <c r="B358" s="242">
        <v>42779</v>
      </c>
      <c r="C358" s="332">
        <v>2328.25</v>
      </c>
      <c r="D358" s="171">
        <f t="shared" si="161"/>
        <v>5.2458874832693285E-3</v>
      </c>
      <c r="E358" s="244">
        <f t="shared" si="164"/>
        <v>0.10740377846692412</v>
      </c>
      <c r="F358" s="245">
        <v>5763.95</v>
      </c>
      <c r="G358" s="171">
        <f t="shared" si="156"/>
        <v>5.2021931874463613E-3</v>
      </c>
      <c r="H358" s="246">
        <f t="shared" si="165"/>
        <v>0.1320285955574759</v>
      </c>
      <c r="I358" s="553">
        <v>323021.71000000002</v>
      </c>
      <c r="J358" s="248">
        <v>300000</v>
      </c>
      <c r="K358" s="248">
        <f t="shared" si="166"/>
        <v>-981.29999999998836</v>
      </c>
      <c r="L358" s="171">
        <f t="shared" si="150"/>
        <v>-3.0286755669337402E-3</v>
      </c>
      <c r="M358" s="586">
        <f t="shared" si="158"/>
        <v>23021.710000000021</v>
      </c>
      <c r="N358" s="250">
        <f t="shared" si="163"/>
        <v>7.6739033333333401E-2</v>
      </c>
      <c r="O358" s="183">
        <f t="shared" si="154"/>
        <v>5.1335040155677705E-2</v>
      </c>
      <c r="P358" s="249" t="b">
        <f t="shared" si="167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5"/>
        <v>19191.860000000044</v>
      </c>
      <c r="T358" s="248">
        <v>-28482</v>
      </c>
      <c r="U358" s="248">
        <f t="shared" si="162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9"/>
        <v>0.14833333064676568</v>
      </c>
      <c r="Y358" s="807">
        <f t="shared" si="160"/>
        <v>-3.0664745133590715E-2</v>
      </c>
    </row>
    <row r="359" spans="1:25" ht="20.100000000000001" customHeight="1" x14ac:dyDescent="0.25">
      <c r="A359" s="163">
        <f t="shared" si="149"/>
        <v>547</v>
      </c>
      <c r="B359" s="242">
        <v>42780</v>
      </c>
      <c r="C359" s="332">
        <v>2337.58</v>
      </c>
      <c r="D359" s="171">
        <f t="shared" si="161"/>
        <v>4.0073016213894247E-3</v>
      </c>
      <c r="E359" s="244">
        <f t="shared" si="164"/>
        <v>0.1118414794239074</v>
      </c>
      <c r="F359" s="245">
        <v>5782.57</v>
      </c>
      <c r="G359" s="171">
        <f>(F359-F358)/F358</f>
        <v>3.2304235810511699E-3</v>
      </c>
      <c r="H359" s="246">
        <f t="shared" si="165"/>
        <v>0.135685527426989</v>
      </c>
      <c r="I359" s="553">
        <v>323822.24</v>
      </c>
      <c r="J359" s="248">
        <v>300000</v>
      </c>
      <c r="K359" s="248">
        <f t="shared" si="166"/>
        <v>800.52999999996973</v>
      </c>
      <c r="L359" s="171">
        <f t="shared" si="150"/>
        <v>2.4782544801709139E-3</v>
      </c>
      <c r="M359" s="586">
        <f t="shared" si="158"/>
        <v>23822.239999999991</v>
      </c>
      <c r="N359" s="250">
        <f t="shared" si="163"/>
        <v>7.9407466666666635E-2</v>
      </c>
      <c r="O359" s="183">
        <f t="shared" si="154"/>
        <v>5.3022993053016436E-2</v>
      </c>
      <c r="P359" s="249" t="b">
        <f t="shared" si="167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5"/>
        <v>17951.440000000002</v>
      </c>
      <c r="T359" s="248">
        <v>-29398</v>
      </c>
      <c r="U359" s="248">
        <f t="shared" si="162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9"/>
        <v>0.15342485111277482</v>
      </c>
      <c r="Y359" s="807">
        <f t="shared" si="160"/>
        <v>-3.2434012757240768E-2</v>
      </c>
    </row>
    <row r="360" spans="1:25" ht="20.100000000000001" customHeight="1" x14ac:dyDescent="0.25">
      <c r="A360" s="163">
        <f t="shared" si="149"/>
        <v>548</v>
      </c>
      <c r="B360" s="242">
        <v>42781</v>
      </c>
      <c r="C360" s="332">
        <v>2349.25</v>
      </c>
      <c r="D360" s="171">
        <f t="shared" si="161"/>
        <v>4.9923425080639263E-3</v>
      </c>
      <c r="E360" s="244">
        <f t="shared" si="164"/>
        <v>0.11739217290386406</v>
      </c>
      <c r="F360" s="245">
        <v>5819.44</v>
      </c>
      <c r="G360" s="171">
        <f t="shared" ref="G360:G367" si="168">(F360-F359)/F359</f>
        <v>6.376057704446274E-3</v>
      </c>
      <c r="H360" s="246">
        <f t="shared" si="165"/>
        <v>0.14292672388396799</v>
      </c>
      <c r="I360" s="553">
        <v>324896.15000000002</v>
      </c>
      <c r="J360" s="248">
        <v>300000</v>
      </c>
      <c r="K360" s="248">
        <f t="shared" si="166"/>
        <v>1073.9100000000326</v>
      </c>
      <c r="L360" s="171">
        <f t="shared" si="150"/>
        <v>3.3163565294342741E-3</v>
      </c>
      <c r="M360" s="586">
        <f t="shared" si="158"/>
        <v>24896.150000000023</v>
      </c>
      <c r="N360" s="250">
        <f t="shared" si="163"/>
        <v>8.2987166666666751E-2</v>
      </c>
      <c r="O360" s="183">
        <f t="shared" si="154"/>
        <v>5.5312158074817569E-2</v>
      </c>
      <c r="P360" s="249" t="b">
        <f t="shared" si="167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5"/>
        <v>40338.100000000035</v>
      </c>
      <c r="T360" s="248">
        <v>-27681</v>
      </c>
      <c r="U360" s="248">
        <f t="shared" si="162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9"/>
        <v>0.16026999917292378</v>
      </c>
      <c r="Y360" s="807">
        <f t="shared" si="160"/>
        <v>-3.4405006237197305E-2</v>
      </c>
    </row>
    <row r="361" spans="1:25" ht="20.100000000000001" customHeight="1" x14ac:dyDescent="0.25">
      <c r="A361" s="163">
        <f t="shared" si="149"/>
        <v>549</v>
      </c>
      <c r="B361" s="242">
        <v>42782</v>
      </c>
      <c r="C361" s="332">
        <v>2347.2199999999998</v>
      </c>
      <c r="D361" s="171">
        <f t="shared" si="161"/>
        <v>-8.6410556560612964E-4</v>
      </c>
      <c r="E361" s="244">
        <f t="shared" si="164"/>
        <v>0.1164266281082931</v>
      </c>
      <c r="F361" s="245">
        <v>5814.9</v>
      </c>
      <c r="G361" s="171">
        <f t="shared" si="168"/>
        <v>-7.8014379390456195E-4</v>
      </c>
      <c r="H361" s="246">
        <f t="shared" si="165"/>
        <v>0.14203507669344223</v>
      </c>
      <c r="I361" s="553">
        <v>324092.39</v>
      </c>
      <c r="J361" s="248">
        <v>300000</v>
      </c>
      <c r="K361" s="248">
        <f t="shared" si="166"/>
        <v>-803.76000000000931</v>
      </c>
      <c r="L361" s="171">
        <f t="shared" si="150"/>
        <v>-2.4738981979318909E-3</v>
      </c>
      <c r="M361" s="586">
        <f t="shared" si="158"/>
        <v>24092.390000000014</v>
      </c>
      <c r="N361" s="250">
        <f t="shared" si="163"/>
        <v>8.0307966666666716E-2</v>
      </c>
      <c r="O361" s="183">
        <f t="shared" si="154"/>
        <v>5.3428934107468157E-2</v>
      </c>
      <c r="P361" s="249" t="b">
        <f t="shared" si="167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5"/>
        <v>47409.790000000037</v>
      </c>
      <c r="T361" s="248">
        <v>-27918</v>
      </c>
      <c r="U361" s="248">
        <f t="shared" si="162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9"/>
        <v>0.15502536304399125</v>
      </c>
      <c r="Y361" s="807">
        <f t="shared" si="160"/>
        <v>-3.6118661441626385E-2</v>
      </c>
    </row>
    <row r="362" spans="1:25" ht="20.100000000000001" customHeight="1" x14ac:dyDescent="0.25">
      <c r="A362" s="163">
        <f t="shared" si="149"/>
        <v>550</v>
      </c>
      <c r="B362" s="242">
        <v>42783</v>
      </c>
      <c r="C362" s="332">
        <v>2351.16</v>
      </c>
      <c r="D362" s="171">
        <f t="shared" si="161"/>
        <v>1.6785814708463864E-3</v>
      </c>
      <c r="E362" s="244">
        <f t="shared" ref="E362" si="169">(C362-$C$2)/$C$2</f>
        <v>0.11830064115979519</v>
      </c>
      <c r="F362" s="245">
        <v>5838.57</v>
      </c>
      <c r="G362" s="171">
        <f t="shared" si="168"/>
        <v>4.0705773100139422E-3</v>
      </c>
      <c r="H362" s="246">
        <f t="shared" ref="H362" si="170">(F362-F$2)/F$2</f>
        <v>0.1466838187638706</v>
      </c>
      <c r="I362" s="553">
        <v>324795.14</v>
      </c>
      <c r="J362" s="248">
        <v>300000</v>
      </c>
      <c r="K362" s="248">
        <f t="shared" ref="K362" si="171">I362-I361-J362+J361</f>
        <v>702.75</v>
      </c>
      <c r="L362" s="171">
        <f t="shared" si="150"/>
        <v>2.1683631633559798E-3</v>
      </c>
      <c r="M362" s="586">
        <f t="shared" ref="M362" si="172">I362-J362</f>
        <v>24795.140000000014</v>
      </c>
      <c r="N362" s="250">
        <f t="shared" ref="N362" si="173">M362/J362</f>
        <v>8.2650466666666714E-2</v>
      </c>
      <c r="O362" s="183">
        <f t="shared" si="154"/>
        <v>5.4887423545454575E-2</v>
      </c>
      <c r="P362" s="249" t="b">
        <f t="shared" ref="P362" si="174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75">I362-R362</f>
        <v>45928.790000000037</v>
      </c>
      <c r="T362" s="248">
        <v>-28366</v>
      </c>
      <c r="U362" s="248">
        <f t="shared" ref="U362" si="176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9"/>
        <v>0.15947842513918822</v>
      </c>
      <c r="Y362" s="807">
        <f t="shared" si="160"/>
        <v>-3.5650174493128475E-2</v>
      </c>
    </row>
    <row r="363" spans="1:25" ht="20.100000000000001" customHeight="1" x14ac:dyDescent="0.25">
      <c r="A363" s="163">
        <f t="shared" si="149"/>
        <v>554</v>
      </c>
      <c r="B363" s="172">
        <v>42787</v>
      </c>
      <c r="C363" s="215">
        <v>2365.38</v>
      </c>
      <c r="D363" s="171">
        <f t="shared" si="161"/>
        <v>6.048078395345385E-3</v>
      </c>
      <c r="E363" s="209">
        <f t="shared" ref="E363" si="177">(C363-$C$2)/$C$2</f>
        <v>0.12506421110709465</v>
      </c>
      <c r="F363" s="219">
        <v>5865.94</v>
      </c>
      <c r="G363" s="171">
        <f t="shared" si="168"/>
        <v>4.6877917024202662E-3</v>
      </c>
      <c r="H363" s="203">
        <f t="shared" ref="H363" si="178">(F363-F$2)/F$2</f>
        <v>0.15205923365477145</v>
      </c>
      <c r="I363" s="221">
        <v>327591.99</v>
      </c>
      <c r="J363" s="173">
        <v>300000</v>
      </c>
      <c r="K363" s="173">
        <f t="shared" ref="K363" si="179">I363-I362-J363+J362</f>
        <v>2796.8499999999767</v>
      </c>
      <c r="L363" s="171">
        <f t="shared" si="150"/>
        <v>8.6111202279688555E-3</v>
      </c>
      <c r="M363" s="182">
        <f t="shared" ref="M363" si="180">I363-J363</f>
        <v>27591.989999999991</v>
      </c>
      <c r="N363" s="184">
        <f t="shared" ref="N363" si="181">M363/J363</f>
        <v>9.1973299999999966E-2</v>
      </c>
      <c r="O363" s="183">
        <f t="shared" si="154"/>
        <v>6.0637631453068573E-2</v>
      </c>
      <c r="P363" s="182" t="b">
        <f t="shared" ref="P363" si="182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83">I363-R363</f>
        <v>50375.089999999967</v>
      </c>
      <c r="T363" s="173">
        <v>-27825</v>
      </c>
      <c r="U363" s="173">
        <f t="shared" ref="U363" si="184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9"/>
        <v>0.17639838744801115</v>
      </c>
      <c r="Y363" s="807">
        <f t="shared" si="160"/>
        <v>-3.3090911107094681E-2</v>
      </c>
    </row>
    <row r="364" spans="1:25" ht="20.100000000000001" customHeight="1" x14ac:dyDescent="0.25">
      <c r="A364" s="163">
        <f t="shared" si="149"/>
        <v>555</v>
      </c>
      <c r="B364" s="172">
        <v>42788</v>
      </c>
      <c r="C364" s="215">
        <v>2362.8200000000002</v>
      </c>
      <c r="D364" s="171">
        <f t="shared" ref="D364:D367" si="185">(C364-C363)/C363</f>
        <v>-1.0822785345271986E-3</v>
      </c>
      <c r="E364" s="209">
        <f t="shared" ref="E364" si="186">(C364-$C$2)/$C$2</f>
        <v>0.12384657826144865</v>
      </c>
      <c r="F364" s="219">
        <v>5860.62</v>
      </c>
      <c r="G364" s="171">
        <f t="shared" si="168"/>
        <v>-9.069305175299627E-4</v>
      </c>
      <c r="H364" s="203">
        <f t="shared" ref="H364" si="187">(F364-F$2)/F$2</f>
        <v>0.15101439597776775</v>
      </c>
      <c r="I364" s="221">
        <v>323529.21999999997</v>
      </c>
      <c r="J364" s="173">
        <v>300000</v>
      </c>
      <c r="K364" s="173">
        <f t="shared" ref="K364" si="188">I364-I363-J364+J363</f>
        <v>-4062.7700000000186</v>
      </c>
      <c r="L364" s="171">
        <f t="shared" si="150"/>
        <v>-1.2401921060402053E-2</v>
      </c>
      <c r="M364" s="182">
        <f t="shared" ref="M364" si="189">I364-J364</f>
        <v>23529.219999999972</v>
      </c>
      <c r="N364" s="184">
        <f t="shared" ref="N364" si="190">M364/J364</f>
        <v>7.8430733333333238E-2</v>
      </c>
      <c r="O364" s="183">
        <f t="shared" si="154"/>
        <v>5.1615901531531463E-2</v>
      </c>
      <c r="P364" s="182" t="b">
        <f t="shared" ref="P364" si="191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92">I364-R364</f>
        <v>40590.219999999972</v>
      </c>
      <c r="T364" s="173">
        <v>-27755</v>
      </c>
      <c r="U364" s="173">
        <f t="shared" ref="U364" si="193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9"/>
        <v>0.15028586790357162</v>
      </c>
      <c r="Y364" s="807">
        <f t="shared" si="160"/>
        <v>-4.5415844928115415E-2</v>
      </c>
    </row>
    <row r="365" spans="1:25" ht="20.100000000000001" customHeight="1" x14ac:dyDescent="0.25">
      <c r="A365" s="163">
        <f t="shared" si="149"/>
        <v>556</v>
      </c>
      <c r="B365" s="172">
        <v>42789</v>
      </c>
      <c r="C365" s="215">
        <v>2363.81</v>
      </c>
      <c r="D365" s="171">
        <f t="shared" si="185"/>
        <v>4.1899086684545658E-4</v>
      </c>
      <c r="E365" s="209">
        <f t="shared" ref="E365" si="194">(C365-$C$2)/$C$2</f>
        <v>0.12431745971347571</v>
      </c>
      <c r="F365" s="219">
        <v>5835.5</v>
      </c>
      <c r="G365" s="171">
        <f t="shared" si="168"/>
        <v>-4.2862359272568245E-3</v>
      </c>
      <c r="H365" s="203">
        <f t="shared" ref="H365" si="195">(F365-F$2)/F$2</f>
        <v>0.14608087672093803</v>
      </c>
      <c r="I365" s="221">
        <v>324343.32</v>
      </c>
      <c r="J365" s="173">
        <v>300000</v>
      </c>
      <c r="K365" s="173">
        <f t="shared" ref="K365" si="196">I365-I364-J365+J364</f>
        <v>814.10000000003492</v>
      </c>
      <c r="L365" s="171">
        <f t="shared" si="150"/>
        <v>2.5163105823951077E-3</v>
      </c>
      <c r="M365" s="182">
        <f t="shared" ref="M365" si="197">I365-J365</f>
        <v>24343.320000000007</v>
      </c>
      <c r="N365" s="184">
        <f t="shared" ref="N365" si="198">M365/J365</f>
        <v>8.1144400000000019E-2</v>
      </c>
      <c r="O365" s="183">
        <f t="shared" si="154"/>
        <v>5.3305741187050372E-2</v>
      </c>
      <c r="P365" s="182" t="b">
        <f t="shared" ref="P365" si="199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200">I365-R365</f>
        <v>39006.22000000003</v>
      </c>
      <c r="T365" s="173">
        <v>-27553</v>
      </c>
      <c r="U365" s="173">
        <f t="shared" ref="U365" si="201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9"/>
        <v>0.15541928305823646</v>
      </c>
      <c r="Y365" s="807">
        <f t="shared" si="160"/>
        <v>-4.3173059713475695E-2</v>
      </c>
    </row>
    <row r="366" spans="1:25" ht="20.100000000000001" customHeight="1" x14ac:dyDescent="0.25">
      <c r="A366" s="163">
        <f t="shared" si="149"/>
        <v>557</v>
      </c>
      <c r="B366" s="172">
        <v>42790</v>
      </c>
      <c r="C366" s="215">
        <v>2367.34</v>
      </c>
      <c r="D366" s="171">
        <f t="shared" si="185"/>
        <v>1.4933518345383937E-3</v>
      </c>
      <c r="E366" s="209">
        <f t="shared" ref="E366" si="202">(C366-$C$2)/$C$2</f>
        <v>0.12599646125454239</v>
      </c>
      <c r="F366" s="219">
        <v>5845.3</v>
      </c>
      <c r="G366" s="171">
        <f t="shared" si="168"/>
        <v>1.6793762316854052E-3</v>
      </c>
      <c r="H366" s="203">
        <f t="shared" ref="H366" si="203">(F366-F$2)/F$2</f>
        <v>0.14800557770489237</v>
      </c>
      <c r="I366" s="221">
        <v>322787.92</v>
      </c>
      <c r="J366" s="173">
        <v>300000</v>
      </c>
      <c r="K366" s="173">
        <f t="shared" ref="K366" si="204">I366-I365-J366+J365</f>
        <v>-1555.4000000000233</v>
      </c>
      <c r="L366" s="171">
        <f t="shared" si="150"/>
        <v>-4.7955357921353929E-3</v>
      </c>
      <c r="M366" s="182">
        <f t="shared" ref="M366" si="205">I366-J366</f>
        <v>22787.919999999984</v>
      </c>
      <c r="N366" s="184">
        <f t="shared" ref="N366" si="206">M366/J366</f>
        <v>7.5959733333333279E-2</v>
      </c>
      <c r="O366" s="183">
        <f t="shared" si="154"/>
        <v>4.9810220107719891E-2</v>
      </c>
      <c r="P366" s="182" t="b">
        <f t="shared" ref="P366" si="207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8">I366-R366</f>
        <v>41400.169999999984</v>
      </c>
      <c r="T366" s="173">
        <v>-27481</v>
      </c>
      <c r="U366" s="173">
        <f t="shared" ref="U366" si="209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9"/>
        <v>0.1454153107318655</v>
      </c>
      <c r="Y366" s="807">
        <f t="shared" si="160"/>
        <v>-5.0036727921209112E-2</v>
      </c>
    </row>
    <row r="367" spans="1:25" ht="20.100000000000001" customHeight="1" x14ac:dyDescent="0.25">
      <c r="A367" s="163">
        <f t="shared" si="149"/>
        <v>560</v>
      </c>
      <c r="B367" s="242">
        <v>42793</v>
      </c>
      <c r="C367" s="332">
        <v>2369.75</v>
      </c>
      <c r="D367" s="171">
        <f t="shared" si="185"/>
        <v>1.0180202252316332E-3</v>
      </c>
      <c r="E367" s="244">
        <f t="shared" ref="E367" si="210">(C367-$C$2)/$C$2</f>
        <v>0.12714274842563875</v>
      </c>
      <c r="F367" s="245">
        <v>5861.89</v>
      </c>
      <c r="G367" s="171">
        <f t="shared" si="168"/>
        <v>2.8381776812139918E-3</v>
      </c>
      <c r="H367" s="246">
        <f t="shared" ref="H367" si="211">(F367-F$2)/F$2</f>
        <v>0.15126382151344356</v>
      </c>
      <c r="I367" s="553">
        <v>323797.27</v>
      </c>
      <c r="J367" s="248">
        <v>300000</v>
      </c>
      <c r="K367" s="248">
        <f t="shared" ref="K367" si="212">I367-I366-J367+J366</f>
        <v>1009.3500000000349</v>
      </c>
      <c r="L367" s="171">
        <f t="shared" si="150"/>
        <v>3.126975755474477E-3</v>
      </c>
      <c r="M367" s="586">
        <f t="shared" ref="M367" si="213">I367-J367</f>
        <v>23797.270000000019</v>
      </c>
      <c r="N367" s="250">
        <f t="shared" ref="N367" si="214">M367/J367</f>
        <v>7.9324233333333397E-2</v>
      </c>
      <c r="O367" s="183">
        <f t="shared" si="154"/>
        <v>5.1737814687500043E-2</v>
      </c>
      <c r="P367" s="249" t="b">
        <f t="shared" ref="P367" si="215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6">I367-R367</f>
        <v>32738.170000000042</v>
      </c>
      <c r="T367" s="248">
        <v>-27481</v>
      </c>
      <c r="U367" s="248">
        <f t="shared" ref="U367" si="217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9"/>
        <v>0.15124788183183244</v>
      </c>
      <c r="Y367" s="807">
        <f t="shared" si="160"/>
        <v>-4.781851509230535E-2</v>
      </c>
    </row>
    <row r="368" spans="1:25" ht="20.100000000000001" customHeight="1" x14ac:dyDescent="0.25">
      <c r="A368" s="163">
        <f t="shared" si="149"/>
        <v>561</v>
      </c>
      <c r="B368" s="242">
        <v>42794</v>
      </c>
      <c r="C368" s="332">
        <v>2363.64</v>
      </c>
      <c r="D368" s="171">
        <f t="shared" ref="D368" si="218">(C368-C367)/C367</f>
        <v>-2.5783310475789123E-3</v>
      </c>
      <c r="E368" s="244">
        <f t="shared" ref="E368" si="219">(C368-$C$2)/$C$2</f>
        <v>0.1242366012823195</v>
      </c>
      <c r="F368" s="245">
        <v>5825.43</v>
      </c>
      <c r="G368" s="171">
        <f t="shared" ref="G368" si="220">(F368-F367)/F367</f>
        <v>-6.2198369467867934E-3</v>
      </c>
      <c r="H368" s="246">
        <f t="shared" ref="H368" si="221">(F368-F$2)/F$2</f>
        <v>0.14410314826089529</v>
      </c>
      <c r="I368" s="652">
        <v>320573.07</v>
      </c>
      <c r="J368" s="248">
        <v>300000</v>
      </c>
      <c r="K368" s="248">
        <f t="shared" ref="K368" si="222">I368-I367-J368+J367</f>
        <v>-3224.2000000000116</v>
      </c>
      <c r="L368" s="171">
        <f t="shared" si="150"/>
        <v>-9.9574650521297211E-3</v>
      </c>
      <c r="M368" s="413">
        <f t="shared" ref="M368" si="223">I368-J368</f>
        <v>20573.070000000007</v>
      </c>
      <c r="N368" s="250">
        <f t="shared" ref="N368" si="224">M368/J368</f>
        <v>6.8576900000000024E-2</v>
      </c>
      <c r="O368" s="183">
        <f t="shared" si="154"/>
        <v>4.4648329278074883E-2</v>
      </c>
      <c r="P368" s="249" t="b">
        <f t="shared" ref="P368" si="225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6">I368-R368</f>
        <v>29512.97000000003</v>
      </c>
      <c r="T368" s="248">
        <v>-28947</v>
      </c>
      <c r="U368" s="248">
        <f t="shared" ref="U368" si="227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9"/>
        <v>0.13065852720263929</v>
      </c>
      <c r="Y368" s="807">
        <f t="shared" si="160"/>
        <v>-5.5659701282319479E-2</v>
      </c>
    </row>
    <row r="369" spans="1:25" ht="20.100000000000001" customHeight="1" x14ac:dyDescent="0.25">
      <c r="A369" s="163">
        <f t="shared" si="149"/>
        <v>562</v>
      </c>
      <c r="B369" s="242">
        <v>42795</v>
      </c>
      <c r="C369" s="332">
        <v>2395.96</v>
      </c>
      <c r="D369" s="171">
        <f t="shared" ref="D369:D377" si="228">(C369-C368)/C368</f>
        <v>1.3673825117192197E-2</v>
      </c>
      <c r="E369" s="244">
        <f t="shared" ref="E369" si="229">(C369-$C$2)/$C$2</f>
        <v>0.13960921595860046</v>
      </c>
      <c r="F369" s="245">
        <v>5904.02</v>
      </c>
      <c r="G369" s="171">
        <f t="shared" ref="G369:G382" si="230">(F369-F368)/F368</f>
        <v>1.3490849602518637E-2</v>
      </c>
      <c r="H369" s="246">
        <f t="shared" ref="H369" si="231">(F369-F$2)/F$2</f>
        <v>0.1595380717638511</v>
      </c>
      <c r="I369" s="553">
        <v>325744.14</v>
      </c>
      <c r="J369" s="248">
        <v>300000</v>
      </c>
      <c r="K369" s="248">
        <f t="shared" ref="K369" si="232">I369-I368-J369+J368</f>
        <v>5171.070000000007</v>
      </c>
      <c r="L369" s="171">
        <f t="shared" si="150"/>
        <v>1.613070617566225E-2</v>
      </c>
      <c r="M369" s="586">
        <f t="shared" ref="M369" si="233">I369-J369</f>
        <v>25744.140000000014</v>
      </c>
      <c r="N369" s="250">
        <f t="shared" ref="N369" si="234">M369/J369</f>
        <v>8.5813800000000051E-2</v>
      </c>
      <c r="O369" s="183">
        <f t="shared" si="154"/>
        <v>5.5771335320284728E-2</v>
      </c>
      <c r="P369" s="249" t="b">
        <f t="shared" ref="P369" si="235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6">I369-R369</f>
        <v>34181.090000000026</v>
      </c>
      <c r="T369" s="248">
        <v>-28845</v>
      </c>
      <c r="U369" s="248">
        <f t="shared" ref="U369" si="237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9"/>
        <v>0.16331660993059965</v>
      </c>
      <c r="Y369" s="807">
        <f t="shared" si="160"/>
        <v>-5.3795415958600407E-2</v>
      </c>
    </row>
    <row r="370" spans="1:25" ht="20.100000000000001" customHeight="1" x14ac:dyDescent="0.25">
      <c r="A370" s="163">
        <f t="shared" si="149"/>
        <v>563</v>
      </c>
      <c r="B370" s="242">
        <v>42796</v>
      </c>
      <c r="C370" s="332">
        <v>2381.92</v>
      </c>
      <c r="D370" s="171">
        <f t="shared" si="228"/>
        <v>-5.8598641045760208E-3</v>
      </c>
      <c r="E370" s="244">
        <f t="shared" ref="E370" si="238">(C370-$C$2)/$C$2</f>
        <v>0.13293126082076065</v>
      </c>
      <c r="F370" s="245">
        <v>5861.22</v>
      </c>
      <c r="G370" s="171">
        <f t="shared" si="230"/>
        <v>-7.2492979359826317E-3</v>
      </c>
      <c r="H370" s="246">
        <f t="shared" ref="H370" si="239">(F370-F$2)/F$2</f>
        <v>0.15113223481352014</v>
      </c>
      <c r="I370" s="553">
        <v>374005.77</v>
      </c>
      <c r="J370" s="248">
        <v>350000</v>
      </c>
      <c r="K370" s="248">
        <f t="shared" ref="K370" si="240">I370-I369-J370+J369</f>
        <v>-1738.3699999999953</v>
      </c>
      <c r="L370" s="171">
        <f t="shared" si="150"/>
        <v>-5.3366117345963471E-3</v>
      </c>
      <c r="M370" s="586">
        <f t="shared" ref="M370" si="241">I370-J370</f>
        <v>24005.770000000019</v>
      </c>
      <c r="N370" s="250">
        <f t="shared" ref="N370" si="242">M370/J370</f>
        <v>6.8587914285714341E-2</v>
      </c>
      <c r="O370" s="183">
        <f t="shared" si="154"/>
        <v>4.4496866239533146E-2</v>
      </c>
      <c r="P370" s="249" t="b">
        <f t="shared" ref="P370" si="243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44">I370-R370</f>
        <v>69612.62</v>
      </c>
      <c r="T370" s="248">
        <v>-27836</v>
      </c>
      <c r="U370" s="248">
        <f t="shared" ref="U370" si="245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9"/>
        <v>0.1304653061724208</v>
      </c>
      <c r="Y370" s="807">
        <f t="shared" si="160"/>
        <v>-6.4343346535046309E-2</v>
      </c>
    </row>
    <row r="371" spans="1:25" ht="20.100000000000001" customHeight="1" x14ac:dyDescent="0.25">
      <c r="A371" s="163">
        <f t="shared" si="149"/>
        <v>564</v>
      </c>
      <c r="B371" s="242">
        <v>42797</v>
      </c>
      <c r="C371" s="332">
        <v>2383.12</v>
      </c>
      <c r="D371" s="171">
        <f t="shared" si="228"/>
        <v>5.0379525760723201E-4</v>
      </c>
      <c r="E371" s="244">
        <f t="shared" ref="E371" si="246">(C371-$C$2)/$C$2</f>
        <v>0.13350202621715712</v>
      </c>
      <c r="F371" s="245">
        <v>5870.75</v>
      </c>
      <c r="G371" s="171">
        <f t="shared" si="230"/>
        <v>1.6259413569188232E-3</v>
      </c>
      <c r="H371" s="246">
        <f t="shared" ref="H371" si="247">(F371-F$2)/F$2</f>
        <v>0.15300390832138583</v>
      </c>
      <c r="I371" s="553">
        <v>372756.96</v>
      </c>
      <c r="J371" s="248">
        <v>350000</v>
      </c>
      <c r="K371" s="248">
        <f t="shared" ref="K371" si="248">I371-I370-J371+J370</f>
        <v>-1248.8099999999977</v>
      </c>
      <c r="L371" s="171">
        <f t="shared" si="150"/>
        <v>-3.3390126574785132E-3</v>
      </c>
      <c r="M371" s="586">
        <f t="shared" ref="M371" si="249">I371-J371</f>
        <v>22756.960000000021</v>
      </c>
      <c r="N371" s="250">
        <f t="shared" ref="N371" si="250">M371/J371</f>
        <v>6.5019885714285769E-2</v>
      </c>
      <c r="O371" s="183">
        <f t="shared" si="154"/>
        <v>4.2107293009118578E-2</v>
      </c>
      <c r="P371" s="249" t="b">
        <f t="shared" ref="P371" si="251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52">I371-R371</f>
        <v>68814.010000000009</v>
      </c>
      <c r="T371" s="248">
        <v>-28592</v>
      </c>
      <c r="U371" s="248">
        <f t="shared" ref="U371" si="253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9"/>
        <v>0.12362132386185695</v>
      </c>
      <c r="Y371" s="807">
        <f t="shared" si="160"/>
        <v>-6.8482140502871353E-2</v>
      </c>
    </row>
    <row r="372" spans="1:25" ht="20.100000000000001" customHeight="1" x14ac:dyDescent="0.25">
      <c r="A372" s="163">
        <f t="shared" si="149"/>
        <v>567</v>
      </c>
      <c r="B372" s="172">
        <v>42800</v>
      </c>
      <c r="C372" s="215">
        <v>2375.31</v>
      </c>
      <c r="D372" s="171">
        <f t="shared" si="228"/>
        <v>-3.2772164221692344E-3</v>
      </c>
      <c r="E372" s="209">
        <f t="shared" ref="E372" si="254">(C372-$C$2)/$C$2</f>
        <v>0.12978729476227616</v>
      </c>
      <c r="F372" s="219">
        <v>5849.17</v>
      </c>
      <c r="G372" s="171">
        <f t="shared" si="230"/>
        <v>-3.6758506153387431E-3</v>
      </c>
      <c r="H372" s="203">
        <f t="shared" ref="H372" si="255">(F372-F$2)/F$2</f>
        <v>0.14876563819549468</v>
      </c>
      <c r="I372" s="221">
        <v>373390.96</v>
      </c>
      <c r="J372" s="173">
        <v>350000</v>
      </c>
      <c r="K372" s="173">
        <f t="shared" ref="K372" si="256">I372-I371-J372+J371</f>
        <v>634</v>
      </c>
      <c r="L372" s="171">
        <f t="shared" si="150"/>
        <v>1.7008401399131487E-3</v>
      </c>
      <c r="M372" s="182">
        <f t="shared" ref="M372" si="257">I372-J372</f>
        <v>23390.960000000021</v>
      </c>
      <c r="N372" s="184">
        <f t="shared" ref="N372" si="258">M372/J372</f>
        <v>6.6831314285714344E-2</v>
      </c>
      <c r="O372" s="183">
        <f t="shared" si="154"/>
        <v>4.3051388964474718E-2</v>
      </c>
      <c r="P372" s="182" t="b">
        <f t="shared" ref="P372" si="259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60">I372-R372</f>
        <v>68814.010000000009</v>
      </c>
      <c r="T372" s="173">
        <v>-29562</v>
      </c>
      <c r="U372" s="173">
        <f t="shared" ref="U372" si="261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9"/>
        <v>0.12656426163368498</v>
      </c>
      <c r="Y372" s="807">
        <f t="shared" si="160"/>
        <v>-6.2955980476561813E-2</v>
      </c>
    </row>
    <row r="373" spans="1:25" ht="20.100000000000001" customHeight="1" x14ac:dyDescent="0.25">
      <c r="A373" s="163">
        <f t="shared" si="149"/>
        <v>568</v>
      </c>
      <c r="B373" s="172">
        <v>42801</v>
      </c>
      <c r="C373" s="215">
        <v>2368.39</v>
      </c>
      <c r="D373" s="171">
        <f t="shared" si="228"/>
        <v>-2.9133039476952789E-3</v>
      </c>
      <c r="E373" s="209">
        <f t="shared" ref="E373" si="262">(C373-$C$2)/$C$2</f>
        <v>0.12649588097638925</v>
      </c>
      <c r="F373" s="219">
        <v>5833.92</v>
      </c>
      <c r="G373" s="171">
        <f t="shared" si="230"/>
        <v>-2.6072075183316609E-3</v>
      </c>
      <c r="H373" s="203">
        <f t="shared" ref="H373" si="263">(F373-F$2)/F$2</f>
        <v>0.14577056778679032</v>
      </c>
      <c r="I373" s="221">
        <v>368594.91</v>
      </c>
      <c r="J373" s="173">
        <v>350000</v>
      </c>
      <c r="K373" s="173">
        <f t="shared" ref="K373" si="264">I373-I372-J373+J372</f>
        <v>-4796.0500000000466</v>
      </c>
      <c r="L373" s="171">
        <f t="shared" si="150"/>
        <v>-1.2844579847353686E-2</v>
      </c>
      <c r="M373" s="182">
        <f t="shared" ref="M373" si="265">I373-J373</f>
        <v>18594.909999999974</v>
      </c>
      <c r="N373" s="184">
        <f t="shared" ref="N373" si="266">M373/J373</f>
        <v>5.3128314285714212E-2</v>
      </c>
      <c r="O373" s="183">
        <f t="shared" si="154"/>
        <v>3.416393801559351E-2</v>
      </c>
      <c r="P373" s="182" t="b">
        <f t="shared" ref="P373" si="267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8">I373-R373</f>
        <v>68814.009999999951</v>
      </c>
      <c r="T373" s="173">
        <v>-31802</v>
      </c>
      <c r="U373" s="173">
        <f t="shared" ref="U373" si="269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9"/>
        <v>0.10051870498988912</v>
      </c>
      <c r="Y373" s="807">
        <f t="shared" si="160"/>
        <v>-7.336756669067504E-2</v>
      </c>
    </row>
    <row r="374" spans="1:25" ht="20.100000000000001" customHeight="1" x14ac:dyDescent="0.25">
      <c r="A374" s="163">
        <f t="shared" si="149"/>
        <v>569</v>
      </c>
      <c r="B374" s="172">
        <v>42802</v>
      </c>
      <c r="C374" s="215">
        <v>2369.39</v>
      </c>
      <c r="D374" s="171">
        <f t="shared" si="228"/>
        <v>4.2222775809727285E-4</v>
      </c>
      <c r="E374" s="209">
        <f t="shared" ref="E374" si="270">(C374-$C$2)/$C$2</f>
        <v>0.12697151880671972</v>
      </c>
      <c r="F374" s="219">
        <v>5834.92</v>
      </c>
      <c r="G374" s="171">
        <f t="shared" si="230"/>
        <v>1.7141133234600405E-4</v>
      </c>
      <c r="H374" s="203">
        <f t="shared" ref="H374" si="271">(F374-F$2)/F$2</f>
        <v>0.1459669658463775</v>
      </c>
      <c r="I374" s="221">
        <v>359694.56</v>
      </c>
      <c r="J374" s="173">
        <v>350000</v>
      </c>
      <c r="K374" s="173">
        <f t="shared" ref="K374" si="272">I374-I373-J374+J373</f>
        <v>-8900.3499999999767</v>
      </c>
      <c r="L374" s="171">
        <f t="shared" si="150"/>
        <v>-2.4146698064821288E-2</v>
      </c>
      <c r="M374" s="182">
        <f t="shared" ref="M374" si="273">I374-J374</f>
        <v>9694.5599999999977</v>
      </c>
      <c r="N374" s="184">
        <f t="shared" ref="N374" si="274">M374/J374</f>
        <v>2.7698742857142852E-2</v>
      </c>
      <c r="O374" s="183">
        <f t="shared" si="154"/>
        <v>1.7780256289229218E-2</v>
      </c>
      <c r="P374" s="182" t="b">
        <f t="shared" ref="P374" si="275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6">I374-R374</f>
        <v>58288.010000000009</v>
      </c>
      <c r="T374" s="173">
        <v>-32022</v>
      </c>
      <c r="U374" s="173">
        <f t="shared" ref="U374" si="277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9"/>
        <v>5.2290364902966999E-2</v>
      </c>
      <c r="Y374" s="807">
        <f t="shared" si="160"/>
        <v>-9.9272775949576869E-2</v>
      </c>
    </row>
    <row r="375" spans="1:25" ht="20.100000000000001" customHeight="1" x14ac:dyDescent="0.25">
      <c r="A375" s="163">
        <f t="shared" si="149"/>
        <v>570</v>
      </c>
      <c r="B375" s="172">
        <v>42803</v>
      </c>
      <c r="C375" s="215">
        <v>2364.87</v>
      </c>
      <c r="D375" s="171">
        <f t="shared" si="228"/>
        <v>-1.9076639979066267E-3</v>
      </c>
      <c r="E375" s="209">
        <f t="shared" ref="E375" si="278">(C375-$C$2)/$C$2</f>
        <v>0.12482163581362599</v>
      </c>
      <c r="F375" s="219">
        <v>5838.8</v>
      </c>
      <c r="G375" s="171">
        <f t="shared" si="230"/>
        <v>6.6496198748228067E-4</v>
      </c>
      <c r="H375" s="203">
        <f t="shared" ref="H375" si="279">(F375-F$2)/F$2</f>
        <v>0.14672899031757575</v>
      </c>
      <c r="I375" s="221">
        <v>368952.54</v>
      </c>
      <c r="J375" s="173">
        <v>350000</v>
      </c>
      <c r="K375" s="173">
        <f t="shared" ref="K375" si="280">I375-I374-J375+J374</f>
        <v>9257.9799999999814</v>
      </c>
      <c r="L375" s="171">
        <f t="shared" si="150"/>
        <v>2.573844875496583E-2</v>
      </c>
      <c r="M375" s="182">
        <f t="shared" ref="M375" si="281">I375-J375</f>
        <v>18952.539999999979</v>
      </c>
      <c r="N375" s="184">
        <f t="shared" ref="N375" si="282">M375/J375</f>
        <v>5.4150114285714229E-2</v>
      </c>
      <c r="O375" s="183">
        <f t="shared" si="154"/>
        <v>3.4698823233082668E-2</v>
      </c>
      <c r="P375" s="182" t="b">
        <f t="shared" ref="P375" si="283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84">I375-R375</f>
        <v>89306.289999999979</v>
      </c>
      <c r="T375" s="173">
        <v>-32329</v>
      </c>
      <c r="U375" s="173">
        <f t="shared" ref="U375" si="285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9"/>
        <v>0.10199456177337844</v>
      </c>
      <c r="Y375" s="807">
        <f t="shared" si="160"/>
        <v>-7.0671521527911757E-2</v>
      </c>
    </row>
    <row r="376" spans="1:25" ht="20.100000000000001" customHeight="1" x14ac:dyDescent="0.25">
      <c r="A376" s="163">
        <f t="shared" si="149"/>
        <v>571</v>
      </c>
      <c r="B376" s="172">
        <v>42804</v>
      </c>
      <c r="C376" s="215">
        <v>2372.6</v>
      </c>
      <c r="D376" s="171">
        <f t="shared" si="228"/>
        <v>3.2686786165835834E-3</v>
      </c>
      <c r="E376" s="209">
        <f t="shared" ref="E376" si="286">(C376-$C$2)/$C$2</f>
        <v>0.12849831624208055</v>
      </c>
      <c r="F376" s="219">
        <v>5861.72</v>
      </c>
      <c r="G376" s="171">
        <f t="shared" si="230"/>
        <v>3.9254641364664094E-3</v>
      </c>
      <c r="H376" s="203">
        <f t="shared" ref="H376" si="287">(F376-F$2)/F$2</f>
        <v>0.15123043384331372</v>
      </c>
      <c r="I376" s="221">
        <v>320075.84000000003</v>
      </c>
      <c r="J376" s="173">
        <v>300000</v>
      </c>
      <c r="K376" s="173">
        <f t="shared" ref="K376" si="288">I376-I375-J376+J375</f>
        <v>1123.3000000000466</v>
      </c>
      <c r="L376" s="171">
        <f t="shared" si="150"/>
        <v>3.0445650272526831E-3</v>
      </c>
      <c r="M376" s="182">
        <f t="shared" ref="M376" si="289">I376-J376</f>
        <v>20075.840000000026</v>
      </c>
      <c r="N376" s="184">
        <f t="shared" ref="N376" si="290">M376/J376</f>
        <v>6.6919466666666746E-2</v>
      </c>
      <c r="O376" s="183">
        <f t="shared" si="154"/>
        <v>4.2806191243432629E-2</v>
      </c>
      <c r="P376" s="182" t="b">
        <f t="shared" ref="P376" si="291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92">I376-R376</f>
        <v>50796.540000000037</v>
      </c>
      <c r="T376" s="173">
        <v>-32569</v>
      </c>
      <c r="U376" s="173">
        <f t="shared" ref="U376" si="293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9"/>
        <v>0.12599239118992342</v>
      </c>
      <c r="Y376" s="807">
        <f t="shared" si="160"/>
        <v>-6.1578849575413805E-2</v>
      </c>
    </row>
    <row r="377" spans="1:25" ht="20.100000000000001" customHeight="1" x14ac:dyDescent="0.25">
      <c r="A377" s="163">
        <f t="shared" si="149"/>
        <v>574</v>
      </c>
      <c r="B377" s="242">
        <v>42807</v>
      </c>
      <c r="C377" s="332">
        <v>2373.4699999999998</v>
      </c>
      <c r="D377" s="171">
        <f t="shared" si="228"/>
        <v>3.6668633566546864E-4</v>
      </c>
      <c r="E377" s="244">
        <f t="shared" ref="E377" si="294">(C377-$C$2)/$C$2</f>
        <v>0.12891212115446801</v>
      </c>
      <c r="F377" s="245">
        <v>5875.78</v>
      </c>
      <c r="G377" s="171">
        <f t="shared" si="230"/>
        <v>2.3986133762785478E-3</v>
      </c>
      <c r="H377" s="246">
        <f t="shared" ref="H377" si="295">(F377-F$2)/F$2</f>
        <v>0.15399179056110926</v>
      </c>
      <c r="I377" s="553">
        <v>317453.64</v>
      </c>
      <c r="J377" s="248">
        <v>300000</v>
      </c>
      <c r="K377" s="248">
        <f t="shared" ref="K377" si="296">I377-I376-J377+J376</f>
        <v>-2622.2000000000116</v>
      </c>
      <c r="L377" s="171">
        <f t="shared" si="150"/>
        <v>-8.1924333932858265E-3</v>
      </c>
      <c r="M377" s="586">
        <f t="shared" ref="M377" si="297">I377-J377</f>
        <v>17453.640000000014</v>
      </c>
      <c r="N377" s="250">
        <f t="shared" ref="N377" si="298">M377/J377</f>
        <v>5.8178800000000044E-2</v>
      </c>
      <c r="O377" s="183">
        <f t="shared" si="154"/>
        <v>3.7020569163763097E-2</v>
      </c>
      <c r="P377" s="249" t="b">
        <f t="shared" ref="P377" si="299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300">I377-R377</f>
        <v>50796.540000000037</v>
      </c>
      <c r="T377" s="248">
        <v>-33037</v>
      </c>
      <c r="U377" s="248">
        <f t="shared" ref="U377" si="301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9"/>
        <v>0.10908468212232748</v>
      </c>
      <c r="Y377" s="807">
        <f t="shared" si="160"/>
        <v>-7.0733321154467968E-2</v>
      </c>
    </row>
    <row r="378" spans="1:25" ht="20.100000000000001" customHeight="1" x14ac:dyDescent="0.25">
      <c r="A378" s="163">
        <f t="shared" si="149"/>
        <v>575</v>
      </c>
      <c r="B378" s="242">
        <v>42808</v>
      </c>
      <c r="C378" s="332">
        <v>2365.4499999999998</v>
      </c>
      <c r="D378" s="171">
        <f t="shared" ref="D378:D382" si="302">(C378-C377)/C377</f>
        <v>-3.3790189048102494E-3</v>
      </c>
      <c r="E378" s="244">
        <f t="shared" ref="E378" si="303">(C378-$C$2)/$C$2</f>
        <v>0.12509750575521764</v>
      </c>
      <c r="F378" s="245">
        <v>5856.81</v>
      </c>
      <c r="G378" s="171">
        <f t="shared" si="230"/>
        <v>-3.2285075343187366E-3</v>
      </c>
      <c r="H378" s="246">
        <f t="shared" ref="H378" si="304">(F378-F$2)/F$2</f>
        <v>0.15026611937074075</v>
      </c>
      <c r="I378" s="553">
        <v>413367.17</v>
      </c>
      <c r="J378" s="248">
        <v>400000</v>
      </c>
      <c r="K378" s="248">
        <f t="shared" ref="K378" si="305">I378-I377-J378+J377</f>
        <v>-4086.4700000000303</v>
      </c>
      <c r="L378" s="171">
        <f t="shared" si="150"/>
        <v>-1.2872651263346769E-2</v>
      </c>
      <c r="M378" s="586">
        <f t="shared" ref="M378" si="306">I378-J378</f>
        <v>13367.169999999984</v>
      </c>
      <c r="N378" s="250">
        <f t="shared" ref="N378" si="307">M378/J378</f>
        <v>3.3417924999999959E-2</v>
      </c>
      <c r="O378" s="183">
        <f t="shared" si="154"/>
        <v>2.1227647141304321E-2</v>
      </c>
      <c r="P378" s="249" t="b">
        <f t="shared" ref="P378" si="308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9">I378-R378</f>
        <v>136177.37</v>
      </c>
      <c r="T378" s="248">
        <v>-33401</v>
      </c>
      <c r="U378" s="248">
        <f t="shared" ref="U378" si="310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9"/>
        <v>6.2599750920799252E-2</v>
      </c>
      <c r="Y378" s="807">
        <f t="shared" si="160"/>
        <v>-9.1679580755217677E-2</v>
      </c>
    </row>
    <row r="379" spans="1:25" ht="20.100000000000001" customHeight="1" x14ac:dyDescent="0.25">
      <c r="A379" s="163">
        <f t="shared" si="149"/>
        <v>576</v>
      </c>
      <c r="B379" s="242">
        <v>42809</v>
      </c>
      <c r="C379" s="332">
        <v>2385.2600000000002</v>
      </c>
      <c r="D379" s="171">
        <f t="shared" si="302"/>
        <v>8.3747278530513867E-3</v>
      </c>
      <c r="E379" s="244">
        <f t="shared" ref="E379" si="311">(C379-$C$2)/$C$2</f>
        <v>0.13451989117406449</v>
      </c>
      <c r="F379" s="245">
        <v>5900.04</v>
      </c>
      <c r="G379" s="171">
        <f t="shared" si="230"/>
        <v>7.3811511727373026E-3</v>
      </c>
      <c r="H379" s="246">
        <f t="shared" ref="H379" si="312">(F379-F$2)/F$2</f>
        <v>0.15875640748669406</v>
      </c>
      <c r="I379" s="553">
        <v>417096.77</v>
      </c>
      <c r="J379" s="248">
        <v>400000</v>
      </c>
      <c r="K379" s="248">
        <f t="shared" ref="K379" si="313">I379-I378-J379+J378</f>
        <v>3729.6000000000349</v>
      </c>
      <c r="L379" s="171">
        <f t="shared" si="150"/>
        <v>9.0224871994552328E-3</v>
      </c>
      <c r="M379" s="586">
        <f t="shared" ref="M379" si="314">I379-J379</f>
        <v>17096.770000000019</v>
      </c>
      <c r="N379" s="250">
        <f t="shared" ref="N379:N384" si="315">M379/J379</f>
        <v>4.2741925000000049E-2</v>
      </c>
      <c r="O379" s="183">
        <f t="shared" si="154"/>
        <v>2.7103277962239613E-2</v>
      </c>
      <c r="P379" s="249" t="b">
        <f t="shared" ref="P379" si="316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7">I379-R379</f>
        <v>144473.97000000003</v>
      </c>
      <c r="T379" s="248">
        <v>-33400</v>
      </c>
      <c r="U379" s="248">
        <f t="shared" ref="U379" si="318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9"/>
        <v>8.0016632742757623E-2</v>
      </c>
      <c r="Y379" s="807">
        <f t="shared" si="160"/>
        <v>-9.1777966174064446E-2</v>
      </c>
    </row>
    <row r="380" spans="1:25" ht="20.100000000000001" customHeight="1" x14ac:dyDescent="0.25">
      <c r="A380" s="163">
        <f t="shared" si="149"/>
        <v>577</v>
      </c>
      <c r="B380" s="242">
        <v>42810</v>
      </c>
      <c r="C380" s="332">
        <v>2381.38</v>
      </c>
      <c r="D380" s="171">
        <f t="shared" si="302"/>
        <v>-1.6266570520614562E-3</v>
      </c>
      <c r="E380" s="244">
        <f t="shared" ref="E380" si="319">(C380-$C$2)/$C$2</f>
        <v>0.1326744163923822</v>
      </c>
      <c r="F380" s="245">
        <v>5900.76</v>
      </c>
      <c r="G380" s="171">
        <f t="shared" si="230"/>
        <v>1.2203307096227393E-4</v>
      </c>
      <c r="H380" s="246">
        <f t="shared" ref="H380" si="320">(F380-F$2)/F$2</f>
        <v>0.15889781408959688</v>
      </c>
      <c r="I380" s="553">
        <v>418538.3</v>
      </c>
      <c r="J380" s="248">
        <v>400000</v>
      </c>
      <c r="K380" s="248">
        <f t="shared" ref="K380" si="321">I380-I379-J380+J379</f>
        <v>1441.5299999999697</v>
      </c>
      <c r="L380" s="171">
        <f t="shared" si="150"/>
        <v>3.4561044431007455E-3</v>
      </c>
      <c r="M380" s="586">
        <f t="shared" ref="M380" si="322">I380-J380</f>
        <v>18538.299999999988</v>
      </c>
      <c r="N380" s="250">
        <f t="shared" si="315"/>
        <v>4.634574999999997E-2</v>
      </c>
      <c r="O380" s="183">
        <f t="shared" si="154"/>
        <v>2.9337582647313672E-2</v>
      </c>
      <c r="P380" s="249" t="b">
        <f t="shared" ref="P380" si="323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24">I380-R380</f>
        <v>142643.95000000001</v>
      </c>
      <c r="T380" s="248">
        <v>-31087</v>
      </c>
      <c r="U380" s="248">
        <f t="shared" ref="U380" si="325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9"/>
        <v>8.6725956139813473E-2</v>
      </c>
      <c r="Y380" s="807">
        <f t="shared" si="160"/>
        <v>-8.6328666392382236E-2</v>
      </c>
    </row>
    <row r="381" spans="1:25" ht="20.100000000000001" customHeight="1" x14ac:dyDescent="0.25">
      <c r="A381" s="163">
        <f t="shared" si="149"/>
        <v>578</v>
      </c>
      <c r="B381" s="242">
        <v>42811</v>
      </c>
      <c r="C381" s="332">
        <v>2378.25</v>
      </c>
      <c r="D381" s="171">
        <f t="shared" si="302"/>
        <v>-1.3143639402363792E-3</v>
      </c>
      <c r="E381" s="244">
        <f t="shared" ref="E381" si="326">(C381-$C$2)/$C$2</f>
        <v>0.13118566998344777</v>
      </c>
      <c r="F381" s="245">
        <v>5900.99</v>
      </c>
      <c r="G381" s="171">
        <f t="shared" si="230"/>
        <v>3.8978029948610593E-5</v>
      </c>
      <c r="H381" s="246">
        <f t="shared" ref="H381" si="327">(F381-F$2)/F$2</f>
        <v>0.15894298564330184</v>
      </c>
      <c r="I381" s="553">
        <v>417260.19</v>
      </c>
      <c r="J381" s="248">
        <v>400000</v>
      </c>
      <c r="K381" s="248">
        <f t="shared" ref="K381" si="328">I381-I380-J381+J380</f>
        <v>-1278.109999999986</v>
      </c>
      <c r="L381" s="171">
        <f t="shared" si="150"/>
        <v>-3.0537468136129621E-3</v>
      </c>
      <c r="M381" s="586">
        <f t="shared" ref="M381" si="329">I381-J381</f>
        <v>17260.190000000002</v>
      </c>
      <c r="N381" s="250">
        <f t="shared" si="315"/>
        <v>4.3150475000000008E-2</v>
      </c>
      <c r="O381" s="183">
        <f t="shared" si="154"/>
        <v>2.7267666079152254E-2</v>
      </c>
      <c r="P381" s="249" t="b">
        <f t="shared" ref="P381" si="330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31">I381-R381</f>
        <v>144637.39000000001</v>
      </c>
      <c r="T381" s="248">
        <v>-31412</v>
      </c>
      <c r="U381" s="248">
        <f t="shared" ref="U381" si="332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9"/>
        <v>8.0710706774268351E-2</v>
      </c>
      <c r="Y381" s="807">
        <f t="shared" si="160"/>
        <v>-8.8035194983447765E-2</v>
      </c>
    </row>
    <row r="382" spans="1:25" ht="20.100000000000001" customHeight="1" x14ac:dyDescent="0.25">
      <c r="A382" s="163">
        <f t="shared" si="149"/>
        <v>581</v>
      </c>
      <c r="B382" s="172">
        <v>42814</v>
      </c>
      <c r="C382" s="215">
        <v>2373.4699999999998</v>
      </c>
      <c r="D382" s="171">
        <f t="shared" si="302"/>
        <v>-2.0098812151793126E-3</v>
      </c>
      <c r="E382" s="209">
        <f t="shared" ref="E382" si="333">(C382-$C$2)/$C$2</f>
        <v>0.12891212115446801</v>
      </c>
      <c r="F382" s="219">
        <v>5901.52</v>
      </c>
      <c r="G382" s="171">
        <f t="shared" si="230"/>
        <v>8.9815437748692146E-5</v>
      </c>
      <c r="H382" s="203">
        <f t="shared" ref="H382" si="334">(F382-F$2)/F$2</f>
        <v>0.15904707661488318</v>
      </c>
      <c r="I382" s="221">
        <v>416415.39</v>
      </c>
      <c r="J382" s="173">
        <v>400000</v>
      </c>
      <c r="K382" s="173">
        <f t="shared" ref="K382" si="335">I382-I381-J382+J381</f>
        <v>-844.79999999998836</v>
      </c>
      <c r="L382" s="171">
        <f t="shared" si="150"/>
        <v>-2.0246359951089231E-3</v>
      </c>
      <c r="M382" s="182">
        <f t="shared" ref="M382" si="336">I382-J382</f>
        <v>16415.390000000014</v>
      </c>
      <c r="N382" s="184">
        <f t="shared" si="315"/>
        <v>4.1038475000000033E-2</v>
      </c>
      <c r="O382" s="183">
        <f t="shared" si="154"/>
        <v>2.579914456755596E-2</v>
      </c>
      <c r="P382" s="182" t="b">
        <f t="shared" ref="P382" si="337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8">I382-R382</f>
        <v>142507.39000000001</v>
      </c>
      <c r="T382" s="173">
        <v>-32614</v>
      </c>
      <c r="U382" s="173">
        <f t="shared" ref="U382" si="339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9"/>
        <v>7.646339884954631E-2</v>
      </c>
      <c r="Y382" s="807">
        <f t="shared" si="160"/>
        <v>-8.787364615446798E-2</v>
      </c>
    </row>
    <row r="383" spans="1:25" ht="20.100000000000001" customHeight="1" x14ac:dyDescent="0.25">
      <c r="A383" s="163">
        <f t="shared" si="149"/>
        <v>582</v>
      </c>
      <c r="B383" s="172">
        <v>42815</v>
      </c>
      <c r="C383" s="215">
        <v>2344.02</v>
      </c>
      <c r="D383" s="171">
        <f t="shared" ref="D383" si="340">(C383-C382)/C382</f>
        <v>-1.240799335993285E-2</v>
      </c>
      <c r="E383" s="209">
        <f t="shared" ref="E383" si="341">(C383-$C$2)/$C$2</f>
        <v>0.11490458705123567</v>
      </c>
      <c r="F383" s="219">
        <v>5793.82</v>
      </c>
      <c r="G383" s="171">
        <f t="shared" ref="G383:G387" si="342">(F383-F382)/F382</f>
        <v>-1.8249535712833425E-2</v>
      </c>
      <c r="H383" s="203">
        <f t="shared" ref="H383" si="343">(F383-F$2)/F$2</f>
        <v>0.13789500559734469</v>
      </c>
      <c r="I383" s="221">
        <v>411936.49</v>
      </c>
      <c r="J383" s="173">
        <v>400000</v>
      </c>
      <c r="K383" s="173">
        <f t="shared" ref="K383" si="344">I383-I382-J383+J382</f>
        <v>-4478.9000000000233</v>
      </c>
      <c r="L383" s="171">
        <f t="shared" si="150"/>
        <v>-1.0755846463791895E-2</v>
      </c>
      <c r="M383" s="182">
        <f t="shared" ref="M383" si="345">I383-J383</f>
        <v>11936.489999999991</v>
      </c>
      <c r="N383" s="184">
        <f t="shared" si="315"/>
        <v>2.9841224999999978E-2</v>
      </c>
      <c r="O383" s="183">
        <f t="shared" si="154"/>
        <v>1.8727675998711325E-2</v>
      </c>
      <c r="P383" s="182" t="b">
        <f t="shared" ref="P383" si="346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7">I383-R383</f>
        <v>130577.19</v>
      </c>
      <c r="T383" s="173">
        <v>-32572</v>
      </c>
      <c r="U383" s="173">
        <f t="shared" ref="U383" si="348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9"/>
        <v>5.5557413911703608E-2</v>
      </c>
      <c r="Y383" s="807">
        <f t="shared" si="160"/>
        <v>-8.5063362051235686E-2</v>
      </c>
    </row>
    <row r="384" spans="1:25" ht="20.100000000000001" customHeight="1" x14ac:dyDescent="0.25">
      <c r="A384" s="163">
        <f t="shared" si="149"/>
        <v>583</v>
      </c>
      <c r="B384" s="172">
        <v>42816</v>
      </c>
      <c r="C384" s="215">
        <v>2348.4499999999998</v>
      </c>
      <c r="D384" s="171">
        <f t="shared" ref="D384:D387" si="349">(C384-C383)/C383</f>
        <v>1.8899156150544091E-3</v>
      </c>
      <c r="E384" s="209">
        <f t="shared" ref="E384" si="350">(C384-$C$2)/$C$2</f>
        <v>0.11701166263959958</v>
      </c>
      <c r="F384" s="219">
        <v>5821.64</v>
      </c>
      <c r="G384" s="171">
        <f t="shared" si="342"/>
        <v>4.8016679841625422E-3</v>
      </c>
      <c r="H384" s="203">
        <f t="shared" ref="H384" si="351">(F384-F$2)/F$2</f>
        <v>0.1433587996150599</v>
      </c>
      <c r="I384" s="221">
        <v>410749.09</v>
      </c>
      <c r="J384" s="173">
        <v>400000</v>
      </c>
      <c r="K384" s="173">
        <f t="shared" ref="K384" si="352">I384-I383-J384+J383</f>
        <v>-1187.3999999999651</v>
      </c>
      <c r="L384" s="171">
        <f t="shared" si="150"/>
        <v>-2.8824831711314653E-3</v>
      </c>
      <c r="M384" s="182">
        <f t="shared" ref="M384" si="353">I384-J384</f>
        <v>10749.090000000026</v>
      </c>
      <c r="N384" s="184">
        <f t="shared" si="315"/>
        <v>2.6872725000000063E-2</v>
      </c>
      <c r="O384" s="183">
        <f t="shared" si="154"/>
        <v>1.6835785259434001E-2</v>
      </c>
      <c r="P384" s="182" t="b">
        <f t="shared" ref="P384" si="354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55">I384-R384</f>
        <v>124657.19</v>
      </c>
      <c r="T384" s="173">
        <v>-33152</v>
      </c>
      <c r="U384" s="173">
        <f t="shared" ref="U384" si="356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9"/>
        <v>5.0008905389759037E-2</v>
      </c>
      <c r="Y384" s="807">
        <f t="shared" si="160"/>
        <v>-9.0138937639599515E-2</v>
      </c>
    </row>
    <row r="385" spans="1:25" ht="20.100000000000001" customHeight="1" x14ac:dyDescent="0.25">
      <c r="A385" s="163">
        <f t="shared" ref="A385:A448" si="357">B385-$B$2</f>
        <v>584</v>
      </c>
      <c r="B385" s="172">
        <v>42817</v>
      </c>
      <c r="C385" s="215">
        <v>2345.96</v>
      </c>
      <c r="D385" s="171">
        <f t="shared" si="349"/>
        <v>-1.0602737976110974E-3</v>
      </c>
      <c r="E385" s="209">
        <f t="shared" ref="E385" si="358">(C385-$C$2)/$C$2</f>
        <v>0.11582732444207681</v>
      </c>
      <c r="F385" s="219">
        <v>5817.69</v>
      </c>
      <c r="G385" s="171">
        <f t="shared" si="342"/>
        <v>-6.7850296480042173E-4</v>
      </c>
      <c r="H385" s="203">
        <f t="shared" ref="H385" si="359">(F385-F$2)/F$2</f>
        <v>0.14258302727969044</v>
      </c>
      <c r="I385" s="221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50"/>
        <v>-3.7906596457706315E-3</v>
      </c>
      <c r="M385" s="182">
        <f t="shared" ref="M385" si="361">I385-J385</f>
        <v>9192.0800000000163</v>
      </c>
      <c r="N385" s="184">
        <f t="shared" ref="N385" si="362">M385/J385</f>
        <v>2.2980200000000041E-2</v>
      </c>
      <c r="O385" s="183">
        <f t="shared" si="154"/>
        <v>1.4372462414383587E-2</v>
      </c>
      <c r="P385" s="182" t="b">
        <f t="shared" ref="P385" si="363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64">I385-R385</f>
        <v>127555.13</v>
      </c>
      <c r="T385" s="173">
        <v>-33283</v>
      </c>
      <c r="U385" s="173">
        <f t="shared" ref="U385" si="365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9"/>
        <v>4.274552746404961E-2</v>
      </c>
      <c r="Y385" s="807">
        <f t="shared" si="160"/>
        <v>-9.2847124442076767E-2</v>
      </c>
    </row>
    <row r="386" spans="1:25" ht="20.100000000000001" customHeight="1" x14ac:dyDescent="0.25">
      <c r="A386" s="163">
        <f t="shared" si="357"/>
        <v>585</v>
      </c>
      <c r="B386" s="172">
        <v>42818</v>
      </c>
      <c r="C386" s="215">
        <v>2343.98</v>
      </c>
      <c r="D386" s="171">
        <f t="shared" si="349"/>
        <v>-8.4400416034374759E-4</v>
      </c>
      <c r="E386" s="209">
        <f t="shared" ref="E386" si="366">(C386-$C$2)/$C$2</f>
        <v>0.11488556153802247</v>
      </c>
      <c r="F386" s="219">
        <v>5828.73</v>
      </c>
      <c r="G386" s="171">
        <f t="shared" si="342"/>
        <v>1.8976604116066624E-3</v>
      </c>
      <c r="H386" s="203">
        <f t="shared" ref="H386" si="367">(F386-F$2)/F$2</f>
        <v>0.14475126185753281</v>
      </c>
      <c r="I386" s="221">
        <v>410959.03</v>
      </c>
      <c r="J386" s="173">
        <v>400000</v>
      </c>
      <c r="K386" s="173">
        <f t="shared" ref="K386" si="368">I386-I385-J386+J385</f>
        <v>1766.9500000000116</v>
      </c>
      <c r="L386" s="171">
        <f t="shared" si="150"/>
        <v>4.3181432055087957E-3</v>
      </c>
      <c r="M386" s="182">
        <f t="shared" ref="M386" si="369">I386-J386</f>
        <v>10959.030000000028</v>
      </c>
      <c r="N386" s="184">
        <f t="shared" ref="N386" si="370">M386/J386</f>
        <v>2.739757500000007E-2</v>
      </c>
      <c r="O386" s="183">
        <f t="shared" si="154"/>
        <v>1.710592182692312E-2</v>
      </c>
      <c r="P386" s="182" t="b">
        <f t="shared" ref="P386" si="371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72">I386-R386</f>
        <v>124707.13</v>
      </c>
      <c r="T386" s="173">
        <v>-32644</v>
      </c>
      <c r="U386" s="173">
        <f t="shared" ref="U386" si="373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9"/>
        <v>5.0939597303393938E-2</v>
      </c>
      <c r="Y386" s="807">
        <f t="shared" si="160"/>
        <v>-8.7487986538022394E-2</v>
      </c>
    </row>
    <row r="387" spans="1:25" ht="20.100000000000001" customHeight="1" x14ac:dyDescent="0.25">
      <c r="A387" s="163">
        <f t="shared" si="357"/>
        <v>588</v>
      </c>
      <c r="B387" s="242">
        <v>42821</v>
      </c>
      <c r="C387" s="332">
        <v>2341.59</v>
      </c>
      <c r="D387" s="171">
        <f t="shared" si="349"/>
        <v>-1.0196332733213903E-3</v>
      </c>
      <c r="E387" s="244">
        <f t="shared" ref="E387" si="374">(C387-$C$2)/$C$2</f>
        <v>0.1137487871235327</v>
      </c>
      <c r="F387" s="245">
        <v>5840.37</v>
      </c>
      <c r="G387" s="171">
        <f t="shared" si="342"/>
        <v>1.9970044932601664E-3</v>
      </c>
      <c r="H387" s="246">
        <f t="shared" ref="H387" si="375">(F387-F$2)/F$2</f>
        <v>0.14703733527112753</v>
      </c>
      <c r="I387" s="553">
        <v>411631.08</v>
      </c>
      <c r="J387" s="248">
        <v>400000</v>
      </c>
      <c r="K387" s="248">
        <f t="shared" ref="K387" si="376">I387-I386-J387+J386</f>
        <v>672.04999999998836</v>
      </c>
      <c r="L387" s="171">
        <f t="shared" ref="L387" si="377">K387/I386</f>
        <v>1.6353211657132544E-3</v>
      </c>
      <c r="M387" s="586">
        <f t="shared" ref="M387" si="378">I387-J387</f>
        <v>11631.080000000016</v>
      </c>
      <c r="N387" s="250">
        <f t="shared" ref="N387" si="379">M387/J387</f>
        <v>2.907770000000004E-2</v>
      </c>
      <c r="O387" s="183">
        <f t="shared" si="154"/>
        <v>1.8062295790816349E-2</v>
      </c>
      <c r="P387" s="249" t="b">
        <f t="shared" ref="P387" si="380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81">I387-R387</f>
        <v>124707.13</v>
      </c>
      <c r="T387" s="248">
        <v>-32983</v>
      </c>
      <c r="U387" s="248">
        <f t="shared" ref="U387" si="382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9"/>
        <v>5.3857559525274816E-2</v>
      </c>
      <c r="Y387" s="807">
        <f t="shared" si="160"/>
        <v>-8.4671087123532662E-2</v>
      </c>
    </row>
    <row r="388" spans="1:25" ht="20.100000000000001" customHeight="1" x14ac:dyDescent="0.25">
      <c r="A388" s="163">
        <f t="shared" si="357"/>
        <v>589</v>
      </c>
      <c r="B388" s="242">
        <v>42822</v>
      </c>
      <c r="C388" s="332">
        <v>2358.5700000000002</v>
      </c>
      <c r="D388" s="171">
        <f t="shared" ref="D388" si="383">(C388-C387)/C387</f>
        <v>7.2514829667021203E-3</v>
      </c>
      <c r="E388" s="244">
        <f t="shared" ref="E388" si="384">(C388-$C$2)/$C$2</f>
        <v>0.12182511748254414</v>
      </c>
      <c r="F388" s="245">
        <v>5875.14</v>
      </c>
      <c r="G388" s="171">
        <f t="shared" ref="G388" si="385">(F388-F387)/F387</f>
        <v>5.9533899393361097E-3</v>
      </c>
      <c r="H388" s="246">
        <f t="shared" ref="H388" si="386">(F388-F$2)/F$2</f>
        <v>0.15386609580297358</v>
      </c>
      <c r="I388" s="553">
        <v>415160.28</v>
      </c>
      <c r="J388" s="248">
        <v>400000</v>
      </c>
      <c r="K388" s="248">
        <f t="shared" ref="K388" si="387">I388-I387-J388+J387</f>
        <v>3529.2000000000116</v>
      </c>
      <c r="L388" s="171">
        <f t="shared" ref="L388:L401" si="388">K388/I387</f>
        <v>8.5736966217420021E-3</v>
      </c>
      <c r="M388" s="586">
        <f t="shared" ref="M388" si="389">I388-J388</f>
        <v>15160.280000000028</v>
      </c>
      <c r="N388" s="250">
        <f t="shared" ref="N388" si="390">M388/J388</f>
        <v>3.7900700000000072E-2</v>
      </c>
      <c r="O388" s="183">
        <f t="shared" si="154"/>
        <v>2.3502938327674066E-2</v>
      </c>
      <c r="P388" s="249" t="b">
        <f t="shared" ref="P388" si="391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92">I388-R388</f>
        <v>124707.13</v>
      </c>
      <c r="T388" s="248">
        <v>-33166</v>
      </c>
      <c r="U388" s="248">
        <f t="shared" ref="U388" si="393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9"/>
        <v>7.0158298672539088E-2</v>
      </c>
      <c r="Y388" s="807">
        <f t="shared" si="160"/>
        <v>-8.3924417482544061E-2</v>
      </c>
    </row>
    <row r="389" spans="1:25" ht="20.100000000000001" customHeight="1" x14ac:dyDescent="0.25">
      <c r="A389" s="163">
        <f t="shared" si="357"/>
        <v>590</v>
      </c>
      <c r="B389" s="242">
        <v>42823</v>
      </c>
      <c r="C389" s="332">
        <v>2361.13</v>
      </c>
      <c r="D389" s="171">
        <f t="shared" ref="D389" si="394">(C389-C388)/C388</f>
        <v>1.0854034436119959E-3</v>
      </c>
      <c r="E389" s="244">
        <f t="shared" ref="E389" si="395">(C389-$C$2)/$C$2</f>
        <v>0.12304275032819012</v>
      </c>
      <c r="F389" s="245">
        <v>5897.54</v>
      </c>
      <c r="G389" s="171">
        <f t="shared" ref="G389:G401" si="396">(F389-F388)/F388</f>
        <v>3.8126751022102682E-3</v>
      </c>
      <c r="H389" s="246">
        <f t="shared" ref="H389" si="397">(F389-F$2)/F$2</f>
        <v>0.15826541233772615</v>
      </c>
      <c r="I389" s="553">
        <v>420963.65</v>
      </c>
      <c r="J389" s="248">
        <v>400000</v>
      </c>
      <c r="K389" s="248">
        <f t="shared" ref="K389" si="398">I389-I388-J389+J388</f>
        <v>5803.3699999999953</v>
      </c>
      <c r="L389" s="171">
        <f t="shared" si="388"/>
        <v>1.3978625315504641E-2</v>
      </c>
      <c r="M389" s="586">
        <f t="shared" ref="M389" si="399">I389-J389</f>
        <v>20963.650000000023</v>
      </c>
      <c r="N389" s="250">
        <f t="shared" ref="N389" si="400">M389/J389</f>
        <v>5.2409125000000056E-2</v>
      </c>
      <c r="O389" s="183">
        <f t="shared" si="154"/>
        <v>3.2444801536016983E-2</v>
      </c>
      <c r="P389" s="249" t="b">
        <f t="shared" ref="P389" si="401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402">I389-R389</f>
        <v>133086.95000000001</v>
      </c>
      <c r="T389" s="248">
        <v>-32529</v>
      </c>
      <c r="U389" s="248">
        <f t="shared" ref="U389" si="403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9"/>
        <v>9.6925470834365604E-2</v>
      </c>
      <c r="Y389" s="807">
        <f t="shared" si="160"/>
        <v>-7.0633625328190064E-2</v>
      </c>
    </row>
    <row r="390" spans="1:25" ht="20.100000000000001" customHeight="1" x14ac:dyDescent="0.25">
      <c r="A390" s="163">
        <f t="shared" si="357"/>
        <v>591</v>
      </c>
      <c r="B390" s="242">
        <v>42824</v>
      </c>
      <c r="C390" s="332">
        <v>2368.06</v>
      </c>
      <c r="D390" s="171">
        <f t="shared" ref="D390:D392" si="404">(C390-C389)/C389</f>
        <v>2.9350353432465964E-3</v>
      </c>
      <c r="E390" s="244">
        <f t="shared" ref="E390" si="405">(C390-$C$2)/$C$2</f>
        <v>0.12633892049238021</v>
      </c>
      <c r="F390" s="245">
        <v>5914.34</v>
      </c>
      <c r="G390" s="171">
        <f t="shared" si="396"/>
        <v>2.848645367390502E-3</v>
      </c>
      <c r="H390" s="246">
        <f t="shared" ref="H390" si="406">(F390-F$2)/F$2</f>
        <v>0.16156489973879065</v>
      </c>
      <c r="I390" s="553">
        <v>421561.9</v>
      </c>
      <c r="J390" s="248">
        <v>400000</v>
      </c>
      <c r="K390" s="248">
        <f t="shared" ref="K390" si="407">I390-I389-J390+J389</f>
        <v>598.25</v>
      </c>
      <c r="L390" s="171">
        <f t="shared" si="388"/>
        <v>1.4211440821553119E-3</v>
      </c>
      <c r="M390" s="586">
        <f t="shared" ref="M390" si="408">I390-J390</f>
        <v>21561.900000000023</v>
      </c>
      <c r="N390" s="250">
        <f t="shared" ref="N390" si="409">M390/J390</f>
        <v>5.3904750000000057E-2</v>
      </c>
      <c r="O390" s="183">
        <f t="shared" si="154"/>
        <v>3.3314230012690391E-2</v>
      </c>
      <c r="P390" s="249" t="b">
        <f t="shared" ref="P390" si="410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11">I390-R390</f>
        <v>133086.95000000001</v>
      </c>
      <c r="T390" s="248">
        <v>-32386</v>
      </c>
      <c r="U390" s="248">
        <f t="shared" ref="U390" si="412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9"/>
        <v>9.9651431815763483E-2</v>
      </c>
      <c r="Y390" s="807">
        <f t="shared" si="160"/>
        <v>-7.2434170492380157E-2</v>
      </c>
    </row>
    <row r="391" spans="1:25" ht="20.100000000000001" customHeight="1" x14ac:dyDescent="0.25">
      <c r="A391" s="163">
        <f t="shared" si="357"/>
        <v>592</v>
      </c>
      <c r="B391" s="242">
        <v>42825</v>
      </c>
      <c r="C391" s="332">
        <v>2362.7199999999998</v>
      </c>
      <c r="D391" s="171">
        <f t="shared" si="404"/>
        <v>-2.2550104304790188E-3</v>
      </c>
      <c r="E391" s="244">
        <f t="shared" ref="E391" si="413">(C391-$C$2)/$C$2</f>
        <v>0.12379901447841543</v>
      </c>
      <c r="F391" s="245">
        <v>5911.73</v>
      </c>
      <c r="G391" s="171">
        <f t="shared" si="396"/>
        <v>-4.4130029724374692E-4</v>
      </c>
      <c r="H391" s="246">
        <f t="shared" ref="H391" si="414">(F391-F$2)/F$2</f>
        <v>0.16105230080326802</v>
      </c>
      <c r="I391" s="583">
        <v>422230.44</v>
      </c>
      <c r="J391" s="248">
        <v>400000</v>
      </c>
      <c r="K391" s="248">
        <f t="shared" ref="K391" si="415">I391-I390-J391+J390</f>
        <v>668.53999999997905</v>
      </c>
      <c r="L391" s="171">
        <f t="shared" si="388"/>
        <v>1.5858643772124071E-3</v>
      </c>
      <c r="M391" s="471">
        <f t="shared" ref="M391" si="416">I391-J391</f>
        <v>22230.440000000002</v>
      </c>
      <c r="N391" s="250">
        <f t="shared" ref="N391" si="417">M391/J391</f>
        <v>5.5576100000000003E-2</v>
      </c>
      <c r="O391" s="183">
        <f t="shared" ref="O391:O454" si="418">N391/(A391/365.25)</f>
        <v>3.4289139400337842E-2</v>
      </c>
      <c r="P391" s="249" t="b">
        <f t="shared" ref="P391" si="419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20">I391-R391</f>
        <v>136751.74</v>
      </c>
      <c r="T391" s="248">
        <v>-31395</v>
      </c>
      <c r="U391" s="248">
        <f t="shared" ref="U391" si="421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9"/>
        <v>0.10269977480698453</v>
      </c>
      <c r="Y391" s="807">
        <f t="shared" si="160"/>
        <v>-6.8222914478415428E-2</v>
      </c>
    </row>
    <row r="392" spans="1:25" ht="20.100000000000001" customHeight="1" x14ac:dyDescent="0.25">
      <c r="A392" s="163">
        <f t="shared" si="357"/>
        <v>595</v>
      </c>
      <c r="B392" s="172">
        <v>42828</v>
      </c>
      <c r="C392" s="215">
        <v>2358.84</v>
      </c>
      <c r="D392" s="171">
        <f t="shared" si="404"/>
        <v>-1.6421751202003007E-3</v>
      </c>
      <c r="E392" s="209">
        <f t="shared" ref="E392" si="422">(C392-$C$2)/$C$2</f>
        <v>0.12195353969673337</v>
      </c>
      <c r="F392" s="219">
        <v>5894.68</v>
      </c>
      <c r="G392" s="171">
        <f t="shared" si="396"/>
        <v>-2.8840965335019146E-3</v>
      </c>
      <c r="H392" s="203">
        <f t="shared" ref="H392" si="423">(F392-F$2)/F$2</f>
        <v>0.15770371388730689</v>
      </c>
      <c r="I392" s="221">
        <v>420788.86</v>
      </c>
      <c r="J392" s="173">
        <v>400000</v>
      </c>
      <c r="K392" s="173">
        <f t="shared" ref="K392" si="424">I392-I391-J392+J391</f>
        <v>-1441.5800000000163</v>
      </c>
      <c r="L392" s="171">
        <f t="shared" si="388"/>
        <v>-3.4142019699006454E-3</v>
      </c>
      <c r="M392" s="182">
        <f t="shared" ref="M392" si="425">I392-J392</f>
        <v>20788.859999999986</v>
      </c>
      <c r="N392" s="184">
        <f t="shared" ref="N392" si="426">M392/J392</f>
        <v>5.1972149999999967E-2</v>
      </c>
      <c r="O392" s="183">
        <f t="shared" si="418"/>
        <v>3.1903912247899138E-2</v>
      </c>
      <c r="P392" s="182" t="b">
        <f t="shared" ref="P392" si="427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8">I392-R392</f>
        <v>142052.51</v>
      </c>
      <c r="T392" s="173">
        <v>-32014</v>
      </c>
      <c r="U392" s="173">
        <f t="shared" ref="U392" si="429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9"/>
        <v>9.5674339118267934E-2</v>
      </c>
      <c r="Y392" s="807">
        <f t="shared" si="160"/>
        <v>-6.9981389696733398E-2</v>
      </c>
    </row>
    <row r="393" spans="1:25" ht="20.100000000000001" customHeight="1" x14ac:dyDescent="0.25">
      <c r="A393" s="163">
        <f t="shared" si="357"/>
        <v>596</v>
      </c>
      <c r="B393" s="172">
        <v>42829</v>
      </c>
      <c r="C393" s="215">
        <v>2360.16</v>
      </c>
      <c r="D393" s="171">
        <f t="shared" ref="D393" si="430">(C393-C392)/C392</f>
        <v>5.5959709009500806E-4</v>
      </c>
      <c r="E393" s="209">
        <f t="shared" ref="E393" si="431">(C393-$C$2)/$C$2</f>
        <v>0.12258138163276945</v>
      </c>
      <c r="F393" s="219">
        <v>5898.6</v>
      </c>
      <c r="G393" s="171">
        <f t="shared" si="396"/>
        <v>6.6500641256184774E-4</v>
      </c>
      <c r="H393" s="203">
        <f t="shared" ref="H393" si="432">(F393-F$2)/F$2</f>
        <v>0.15847359428088861</v>
      </c>
      <c r="I393" s="221">
        <v>422816.59</v>
      </c>
      <c r="J393" s="173">
        <v>400000</v>
      </c>
      <c r="K393" s="173">
        <f t="shared" ref="K393" si="433">I393-I392-J393+J392</f>
        <v>2027.7300000000396</v>
      </c>
      <c r="L393" s="171">
        <f t="shared" si="388"/>
        <v>4.8188775719966532E-3</v>
      </c>
      <c r="M393" s="182">
        <f t="shared" ref="M393" si="434">I393-J393</f>
        <v>22816.590000000026</v>
      </c>
      <c r="N393" s="184">
        <f t="shared" ref="N393" si="435">M393/J393</f>
        <v>5.7041475000000064E-2</v>
      </c>
      <c r="O393" s="183">
        <f t="shared" si="418"/>
        <v>3.4957044872063796E-2</v>
      </c>
      <c r="P393" s="182" t="b">
        <f t="shared" ref="P393" si="436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7">I393-R393</f>
        <v>143004.49000000005</v>
      </c>
      <c r="T393" s="173">
        <v>-31748</v>
      </c>
      <c r="U393" s="173">
        <f t="shared" ref="U393" si="438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9"/>
        <v>0.10495935588856815</v>
      </c>
      <c r="Y393" s="807">
        <f t="shared" si="160"/>
        <v>-6.5539906632769387E-2</v>
      </c>
    </row>
    <row r="394" spans="1:25" ht="20.100000000000001" customHeight="1" x14ac:dyDescent="0.25">
      <c r="A394" s="163">
        <f t="shared" si="357"/>
        <v>597</v>
      </c>
      <c r="B394" s="172">
        <v>42830</v>
      </c>
      <c r="C394" s="215">
        <v>2352.9499999999998</v>
      </c>
      <c r="D394" s="171">
        <f t="shared" ref="D394:D398" si="439">(C394-C393)/C393</f>
        <v>-3.054877635414564E-3</v>
      </c>
      <c r="E394" s="209">
        <f t="shared" ref="E394" si="440">(C394-$C$2)/$C$2</f>
        <v>0.11915203287608672</v>
      </c>
      <c r="F394" s="219">
        <v>5864.47</v>
      </c>
      <c r="G394" s="171">
        <f t="shared" si="396"/>
        <v>-5.7861187400400273E-3</v>
      </c>
      <c r="H394" s="203">
        <f t="shared" ref="H394" si="441">(F394-F$2)/F$2</f>
        <v>0.15177052850717845</v>
      </c>
      <c r="I394" s="221">
        <v>421093.29</v>
      </c>
      <c r="J394" s="173">
        <v>400000</v>
      </c>
      <c r="K394" s="173">
        <f t="shared" ref="K394" si="442">I394-I393-J394+J393</f>
        <v>-1723.3000000000466</v>
      </c>
      <c r="L394" s="171">
        <f t="shared" si="388"/>
        <v>-4.0757624955067313E-3</v>
      </c>
      <c r="M394" s="182">
        <f t="shared" ref="M394" si="443">I394-J394</f>
        <v>21093.289999999979</v>
      </c>
      <c r="N394" s="184">
        <f t="shared" ref="N394" si="444">M394/J394</f>
        <v>5.2733224999999946E-2</v>
      </c>
      <c r="O394" s="183">
        <f t="shared" si="418"/>
        <v>3.2262664038944691E-2</v>
      </c>
      <c r="P394" s="182" t="b">
        <f t="shared" ref="P394" si="445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6">I394-R394</f>
        <v>145116.33999999997</v>
      </c>
      <c r="T394" s="173">
        <v>-31864</v>
      </c>
      <c r="U394" s="173">
        <f t="shared" ref="U394" si="447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9"/>
        <v>9.6987369061442397E-2</v>
      </c>
      <c r="Y394" s="807">
        <f t="shared" si="160"/>
        <v>-6.6418807876086783E-2</v>
      </c>
    </row>
    <row r="395" spans="1:25" ht="20.100000000000001" customHeight="1" x14ac:dyDescent="0.25">
      <c r="A395" s="163">
        <f t="shared" si="357"/>
        <v>598</v>
      </c>
      <c r="B395" s="172">
        <v>42831</v>
      </c>
      <c r="C395" s="215">
        <v>2357.4899999999998</v>
      </c>
      <c r="D395" s="171">
        <f t="shared" si="439"/>
        <v>1.9294927644021181E-3</v>
      </c>
      <c r="E395" s="209">
        <f t="shared" ref="E395" si="448">(C395-$C$2)/$C$2</f>
        <v>0.12131142862578705</v>
      </c>
      <c r="F395" s="219">
        <v>5878.95</v>
      </c>
      <c r="G395" s="171">
        <f t="shared" si="396"/>
        <v>2.4691063301542277E-3</v>
      </c>
      <c r="H395" s="203">
        <f t="shared" ref="H395" si="449">(F395-F$2)/F$2</f>
        <v>0.15461437241000059</v>
      </c>
      <c r="I395" s="221">
        <v>424138.1</v>
      </c>
      <c r="J395" s="173">
        <v>400000</v>
      </c>
      <c r="K395" s="173">
        <f t="shared" ref="K395" si="450">I395-I394-J395+J394</f>
        <v>3044.8099999999977</v>
      </c>
      <c r="L395" s="171">
        <f t="shared" si="388"/>
        <v>7.2307255240281736E-3</v>
      </c>
      <c r="M395" s="182">
        <f t="shared" ref="M395" si="451">I395-J395</f>
        <v>24138.099999999977</v>
      </c>
      <c r="N395" s="184">
        <f t="shared" ref="N395" si="452">M395/J395</f>
        <v>6.0345249999999941E-2</v>
      </c>
      <c r="O395" s="183">
        <f t="shared" si="418"/>
        <v>3.6858031040969866E-2</v>
      </c>
      <c r="P395" s="182" t="b">
        <f t="shared" ref="P395" si="453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54">I395-R395</f>
        <v>145718.79999999999</v>
      </c>
      <c r="T395" s="173">
        <v>-32100</v>
      </c>
      <c r="U395" s="173">
        <f t="shared" ref="U395" si="455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9"/>
        <v>0.11092924560194248</v>
      </c>
      <c r="Y395" s="807">
        <f t="shared" si="160"/>
        <v>-6.0966178625787106E-2</v>
      </c>
    </row>
    <row r="396" spans="1:25" ht="20.100000000000001" customHeight="1" x14ac:dyDescent="0.25">
      <c r="A396" s="163">
        <f t="shared" si="357"/>
        <v>599</v>
      </c>
      <c r="B396" s="172">
        <v>42832</v>
      </c>
      <c r="C396" s="215">
        <v>2355.54</v>
      </c>
      <c r="D396" s="171">
        <f t="shared" si="439"/>
        <v>-8.2715091050219439E-4</v>
      </c>
      <c r="E396" s="209">
        <f t="shared" ref="E396" si="456">(C396-$C$2)/$C$2</f>
        <v>0.12038393485664271</v>
      </c>
      <c r="F396" s="219">
        <v>5877.81</v>
      </c>
      <c r="G396" s="171">
        <f t="shared" si="396"/>
        <v>-1.9391217819498687E-4</v>
      </c>
      <c r="H396" s="203">
        <f t="shared" ref="H396" si="457">(F396-F$2)/F$2</f>
        <v>0.15439047862207134</v>
      </c>
      <c r="I396" s="221">
        <v>423331.5</v>
      </c>
      <c r="J396" s="173">
        <v>400000</v>
      </c>
      <c r="K396" s="173">
        <f t="shared" ref="K396" si="458">I396-I395-J396+J395</f>
        <v>-806.59999999997672</v>
      </c>
      <c r="L396" s="171">
        <f t="shared" si="388"/>
        <v>-1.901739079794946E-3</v>
      </c>
      <c r="M396" s="182">
        <f t="shared" ref="M396" si="459">I396-J396</f>
        <v>23331.5</v>
      </c>
      <c r="N396" s="184">
        <f t="shared" ref="N396" si="460">M396/J396</f>
        <v>5.8328749999999999E-2</v>
      </c>
      <c r="O396" s="183">
        <f t="shared" si="418"/>
        <v>3.5566904737061769E-2</v>
      </c>
      <c r="P396" s="182" t="b">
        <f t="shared" ref="P396" si="461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62">I396-R396</f>
        <v>142532.79999999999</v>
      </c>
      <c r="T396" s="173">
        <v>-32984</v>
      </c>
      <c r="U396" s="173">
        <f t="shared" ref="U396" si="463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9"/>
        <v>0.10717792002948237</v>
      </c>
      <c r="Y396" s="807">
        <f t="shared" si="160"/>
        <v>-6.2055184856642714E-2</v>
      </c>
    </row>
    <row r="397" spans="1:25" ht="20.100000000000001" customHeight="1" x14ac:dyDescent="0.25">
      <c r="A397" s="163">
        <f t="shared" si="357"/>
        <v>602</v>
      </c>
      <c r="B397" s="242">
        <v>42835</v>
      </c>
      <c r="C397" s="332">
        <v>2357.16</v>
      </c>
      <c r="D397" s="171">
        <f t="shared" si="439"/>
        <v>6.8774039073838311E-4</v>
      </c>
      <c r="E397" s="244">
        <f t="shared" ref="E397" si="464">(C397-$C$2)/$C$2</f>
        <v>0.12115446814177802</v>
      </c>
      <c r="F397" s="245">
        <v>5880.92</v>
      </c>
      <c r="G397" s="171">
        <f t="shared" si="396"/>
        <v>5.2910863059535309E-4</v>
      </c>
      <c r="H397" s="246">
        <f t="shared" ref="H397" si="465">(F397-F$2)/F$2</f>
        <v>0.15500127658738738</v>
      </c>
      <c r="I397" s="553">
        <v>425409.3</v>
      </c>
      <c r="J397" s="248">
        <v>400000</v>
      </c>
      <c r="K397" s="248">
        <f t="shared" ref="K397" si="466">I397-I396-J397+J396</f>
        <v>2077.7999999999884</v>
      </c>
      <c r="L397" s="171">
        <f t="shared" si="388"/>
        <v>4.9082102324064904E-3</v>
      </c>
      <c r="M397" s="586">
        <f t="shared" ref="M397" si="467">I397-J397</f>
        <v>25409.299999999988</v>
      </c>
      <c r="N397" s="250">
        <f t="shared" ref="N397" si="468">M397/J397</f>
        <v>6.3523249999999976E-2</v>
      </c>
      <c r="O397" s="183">
        <f t="shared" si="418"/>
        <v>3.854130741279068E-2</v>
      </c>
      <c r="P397" s="249" t="b">
        <f t="shared" ref="P397" si="469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70">I397-R397</f>
        <v>139724.79999999999</v>
      </c>
      <c r="T397" s="248">
        <v>-32983</v>
      </c>
      <c r="U397" s="248">
        <f t="shared" ref="U397" si="471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9"/>
        <v>0.11628242905753122</v>
      </c>
      <c r="Y397" s="807">
        <f t="shared" si="160"/>
        <v>-5.7631218141778046E-2</v>
      </c>
    </row>
    <row r="398" spans="1:25" ht="20.100000000000001" customHeight="1" x14ac:dyDescent="0.25">
      <c r="A398" s="163">
        <f t="shared" si="357"/>
        <v>603</v>
      </c>
      <c r="B398" s="242">
        <v>42836</v>
      </c>
      <c r="C398" s="332">
        <v>2353.7800000000002</v>
      </c>
      <c r="D398" s="171">
        <f t="shared" si="439"/>
        <v>-1.4339289653649539E-3</v>
      </c>
      <c r="E398" s="244">
        <f t="shared" ref="E398" si="472">(C398-$C$2)/$C$2</f>
        <v>0.11954681227526119</v>
      </c>
      <c r="F398" s="245">
        <v>5866.77</v>
      </c>
      <c r="G398" s="171">
        <f t="shared" si="396"/>
        <v>-2.4060861225793984E-3</v>
      </c>
      <c r="H398" s="246">
        <f t="shared" ref="H398" si="473">(F398-F$2)/F$2</f>
        <v>0.15222224404422896</v>
      </c>
      <c r="I398" s="553">
        <v>423985</v>
      </c>
      <c r="J398" s="248">
        <v>400000</v>
      </c>
      <c r="K398" s="248">
        <f t="shared" ref="K398" si="474">I398-I397-J398+J397</f>
        <v>-1424.2999999999884</v>
      </c>
      <c r="L398" s="171">
        <f t="shared" si="388"/>
        <v>-3.3480697295521947E-3</v>
      </c>
      <c r="M398" s="586">
        <f t="shared" ref="M398" si="475">I398-J398</f>
        <v>23985</v>
      </c>
      <c r="N398" s="250">
        <f t="shared" ref="N398" si="476">M398/J398</f>
        <v>5.9962500000000002E-2</v>
      </c>
      <c r="O398" s="183">
        <f t="shared" si="418"/>
        <v>3.6320569029850744E-2</v>
      </c>
      <c r="P398" s="249" t="b">
        <f t="shared" ref="P398" si="477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8">I398-R398</f>
        <v>132039.79999999999</v>
      </c>
      <c r="T398" s="248">
        <v>-32982</v>
      </c>
      <c r="U398" s="248">
        <f t="shared" ref="U398" si="479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9"/>
        <v>0.10971626011100036</v>
      </c>
      <c r="Y398" s="807">
        <f t="shared" si="160"/>
        <v>-5.9584312275261189E-2</v>
      </c>
    </row>
    <row r="399" spans="1:25" ht="20.100000000000001" customHeight="1" x14ac:dyDescent="0.25">
      <c r="A399" s="163">
        <f t="shared" si="357"/>
        <v>604</v>
      </c>
      <c r="B399" s="242">
        <v>42837</v>
      </c>
      <c r="C399" s="332">
        <v>2344.9299999999998</v>
      </c>
      <c r="D399" s="171">
        <f t="shared" ref="D399:D401" si="480">(C399-C398)/C398</f>
        <v>-3.7599095922305243E-3</v>
      </c>
      <c r="E399" s="244">
        <f t="shared" ref="E399" si="481">(C399-$C$2)/$C$2</f>
        <v>0.11533741747683633</v>
      </c>
      <c r="F399" s="245">
        <v>5836.16</v>
      </c>
      <c r="G399" s="171">
        <f t="shared" si="396"/>
        <v>-5.2175217368331432E-3</v>
      </c>
      <c r="H399" s="246">
        <f t="shared" ref="H399" si="482">(F399-F$2)/F$2</f>
        <v>0.14621049944026554</v>
      </c>
      <c r="I399" s="553">
        <v>422212.73</v>
      </c>
      <c r="J399" s="248">
        <v>400000</v>
      </c>
      <c r="K399" s="248">
        <f t="shared" ref="K399" si="483">I399-I398-J399+J398</f>
        <v>-1772.2700000000186</v>
      </c>
      <c r="L399" s="171">
        <f t="shared" si="388"/>
        <v>-4.1800299538899219E-3</v>
      </c>
      <c r="M399" s="586">
        <f t="shared" ref="M399" si="484">I399-J399</f>
        <v>22212.729999999981</v>
      </c>
      <c r="N399" s="250">
        <f t="shared" ref="N399" si="485">M399/J399</f>
        <v>5.5531824999999951E-2</v>
      </c>
      <c r="O399" s="183">
        <f t="shared" si="418"/>
        <v>3.3581124306705269E-2</v>
      </c>
      <c r="P399" s="249" t="b">
        <f t="shared" ref="P399" si="486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7">I399-R399</f>
        <v>130266.52999999997</v>
      </c>
      <c r="T399" s="248">
        <v>-32526</v>
      </c>
      <c r="U399" s="248">
        <f t="shared" ref="U399" si="488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9"/>
        <v>0.10156260711734968</v>
      </c>
      <c r="Y399" s="807">
        <f t="shared" si="160"/>
        <v>-5.9805592476836381E-2</v>
      </c>
    </row>
    <row r="400" spans="1:25" ht="20.100000000000001" customHeight="1" x14ac:dyDescent="0.25">
      <c r="A400" s="163">
        <f t="shared" si="357"/>
        <v>605</v>
      </c>
      <c r="B400" s="242">
        <v>42838</v>
      </c>
      <c r="C400" s="332">
        <v>2328.9499999999998</v>
      </c>
      <c r="D400" s="171">
        <f t="shared" si="480"/>
        <v>-6.8147023578529076E-3</v>
      </c>
      <c r="E400" s="244">
        <f t="shared" ref="E400" si="489">(C400-$C$2)/$C$2</f>
        <v>0.10773672494815537</v>
      </c>
      <c r="F400" s="245">
        <v>5805.15</v>
      </c>
      <c r="G400" s="171">
        <f t="shared" si="396"/>
        <v>-5.3134252659283194E-3</v>
      </c>
      <c r="H400" s="246">
        <f t="shared" ref="H400" si="490">(F400-F$2)/F$2</f>
        <v>0.14012019561246733</v>
      </c>
      <c r="I400" s="553">
        <v>418306.53</v>
      </c>
      <c r="J400" s="248">
        <v>400000</v>
      </c>
      <c r="K400" s="248">
        <f t="shared" ref="K400" si="491">I400-I399-J400+J399</f>
        <v>-3906.1999999999534</v>
      </c>
      <c r="L400" s="171">
        <f t="shared" si="388"/>
        <v>-9.2517343093846405E-3</v>
      </c>
      <c r="M400" s="586">
        <f t="shared" ref="M400" si="492">I400-J400</f>
        <v>18306.530000000028</v>
      </c>
      <c r="N400" s="250">
        <f t="shared" ref="N400" si="493">M400/J400</f>
        <v>4.5766325000000073E-2</v>
      </c>
      <c r="O400" s="183">
        <f t="shared" si="418"/>
        <v>2.7630000340909136E-2</v>
      </c>
      <c r="P400" s="249" t="b">
        <f t="shared" ref="P400" si="494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95">I400-R400</f>
        <v>132065.73000000004</v>
      </c>
      <c r="T400" s="248">
        <v>-33099</v>
      </c>
      <c r="U400" s="248">
        <f t="shared" ref="U400" si="496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9"/>
        <v>8.3645997905154632E-2</v>
      </c>
      <c r="Y400" s="807">
        <f t="shared" si="160"/>
        <v>-6.1970399948155293E-2</v>
      </c>
    </row>
    <row r="401" spans="1:25" ht="20.100000000000001" customHeight="1" x14ac:dyDescent="0.25">
      <c r="A401" s="163">
        <f t="shared" si="357"/>
        <v>609</v>
      </c>
      <c r="B401" s="172">
        <v>42842</v>
      </c>
      <c r="C401" s="215">
        <v>2349.0100000000002</v>
      </c>
      <c r="D401" s="171">
        <f t="shared" si="480"/>
        <v>8.6133236007644651E-3</v>
      </c>
      <c r="E401" s="209">
        <f t="shared" ref="E401" si="497">(C401-$C$2)/$C$2</f>
        <v>0.11727801982458484</v>
      </c>
      <c r="F401" s="219">
        <v>5856.78</v>
      </c>
      <c r="G401" s="171">
        <f t="shared" si="396"/>
        <v>8.8938270328932263E-3</v>
      </c>
      <c r="H401" s="203">
        <f t="shared" ref="H401" si="498">(F401-F$2)/F$2</f>
        <v>0.15026022742895298</v>
      </c>
      <c r="I401" s="221">
        <v>420202.33</v>
      </c>
      <c r="J401" s="173">
        <v>400000</v>
      </c>
      <c r="K401" s="173">
        <f t="shared" ref="K401" si="499">I401-I400-J401+J400</f>
        <v>1895.7999999999884</v>
      </c>
      <c r="L401" s="171">
        <f t="shared" si="388"/>
        <v>4.5320832070204313E-3</v>
      </c>
      <c r="M401" s="182">
        <f t="shared" ref="M401" si="500">I401-J401</f>
        <v>20202.330000000016</v>
      </c>
      <c r="N401" s="184">
        <f t="shared" ref="N401" si="501">M401/J401</f>
        <v>5.0505825000000039E-2</v>
      </c>
      <c r="O401" s="183">
        <f t="shared" si="418"/>
        <v>3.0291055141625639E-2</v>
      </c>
      <c r="P401" s="182" t="b">
        <f t="shared" ref="P401" si="502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503">I401-R401</f>
        <v>132065.73000000004</v>
      </c>
      <c r="T401" s="173">
        <v>-32580</v>
      </c>
      <c r="U401" s="173">
        <f t="shared" ref="U401" si="504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9"/>
        <v>9.1813193933330234E-2</v>
      </c>
      <c r="Y401" s="807">
        <f t="shared" si="160"/>
        <v>-6.6772194824584796E-2</v>
      </c>
    </row>
    <row r="402" spans="1:25" ht="20.100000000000001" customHeight="1" x14ac:dyDescent="0.25">
      <c r="A402" s="163">
        <f t="shared" si="357"/>
        <v>610</v>
      </c>
      <c r="B402" s="172">
        <v>42843</v>
      </c>
      <c r="C402" s="215">
        <v>2342.19</v>
      </c>
      <c r="D402" s="171">
        <f t="shared" ref="D402" si="505">(C402-C401)/C401</f>
        <v>-2.9033507733045678E-3</v>
      </c>
      <c r="E402" s="209">
        <f t="shared" ref="E402" si="506">(C402-$C$2)/$C$2</f>
        <v>0.11403416982173094</v>
      </c>
      <c r="F402" s="219">
        <v>5849.47</v>
      </c>
      <c r="G402" s="171">
        <f t="shared" ref="G402" si="507">(F402-F401)/F401</f>
        <v>-1.2481261034219299E-3</v>
      </c>
      <c r="H402" s="203">
        <f t="shared" ref="H402" si="508">(F402-F$2)/F$2</f>
        <v>0.14882455761337088</v>
      </c>
      <c r="I402" s="221">
        <v>417764.53</v>
      </c>
      <c r="J402" s="173">
        <v>400000</v>
      </c>
      <c r="K402" s="173">
        <f t="shared" ref="K402" si="509">I402-I401-J402+J401</f>
        <v>-2437.7999999999884</v>
      </c>
      <c r="L402" s="171">
        <f t="shared" ref="L402:L406" si="510">K402/I401</f>
        <v>-5.801490915102704E-3</v>
      </c>
      <c r="M402" s="182">
        <f t="shared" ref="M402" si="511">I402-J402</f>
        <v>17764.530000000028</v>
      </c>
      <c r="N402" s="184">
        <f t="shared" ref="N402" si="512">M402/J402</f>
        <v>4.4411325000000071E-2</v>
      </c>
      <c r="O402" s="183">
        <f t="shared" si="418"/>
        <v>2.6592190911885288E-2</v>
      </c>
      <c r="P402" s="182" t="b">
        <f t="shared" ref="P402" si="513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14">I402-R402</f>
        <v>127111.33000000002</v>
      </c>
      <c r="T402" s="173">
        <v>-32684</v>
      </c>
      <c r="U402" s="173">
        <f t="shared" ref="U402" si="515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9"/>
        <v>8.0693500960874159E-2</v>
      </c>
      <c r="Y402" s="807">
        <f t="shared" si="160"/>
        <v>-6.9622844821730867E-2</v>
      </c>
    </row>
    <row r="403" spans="1:25" ht="20.100000000000001" customHeight="1" x14ac:dyDescent="0.25">
      <c r="A403" s="163">
        <f t="shared" si="357"/>
        <v>611</v>
      </c>
      <c r="B403" s="172">
        <v>42844</v>
      </c>
      <c r="C403" s="215">
        <v>2338.17</v>
      </c>
      <c r="D403" s="171">
        <f t="shared" ref="D403:D406" si="516">(C403-C402)/C402</f>
        <v>-1.716342397499768E-3</v>
      </c>
      <c r="E403" s="209">
        <f t="shared" ref="E403" si="517">(C403-$C$2)/$C$2</f>
        <v>0.11212210574380245</v>
      </c>
      <c r="F403" s="219">
        <v>5863.03</v>
      </c>
      <c r="G403" s="171">
        <f t="shared" ref="G403:G406" si="518">(F403-F402)/F402</f>
        <v>2.3181587391677347E-3</v>
      </c>
      <c r="H403" s="203">
        <f t="shared" ref="H403" si="519">(F403-F$2)/F$2</f>
        <v>0.15148771530137281</v>
      </c>
      <c r="I403" s="221">
        <v>412053.83</v>
      </c>
      <c r="J403" s="173">
        <v>400000</v>
      </c>
      <c r="K403" s="173">
        <f t="shared" ref="K403" si="520">I403-I402-J403+J402</f>
        <v>-5710.7000000000116</v>
      </c>
      <c r="L403" s="171">
        <f t="shared" si="510"/>
        <v>-1.3669662189846542E-2</v>
      </c>
      <c r="M403" s="182">
        <f t="shared" ref="M403" si="521">I403-J403</f>
        <v>12053.830000000016</v>
      </c>
      <c r="N403" s="184">
        <f t="shared" ref="N403" si="522">M403/J403</f>
        <v>3.0134575000000042E-2</v>
      </c>
      <c r="O403" s="183">
        <f t="shared" si="418"/>
        <v>1.801416287847793E-2</v>
      </c>
      <c r="P403" s="182" t="b">
        <f t="shared" ref="P403" si="523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24">I403-R403</f>
        <v>122039.33000000002</v>
      </c>
      <c r="T403" s="173">
        <v>-34379</v>
      </c>
      <c r="U403" s="173">
        <f t="shared" ref="U403" si="525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9"/>
        <v>5.4699998337936338E-2</v>
      </c>
      <c r="Y403" s="807">
        <f t="shared" si="160"/>
        <v>-8.1987530743802411E-2</v>
      </c>
    </row>
    <row r="404" spans="1:25" ht="20.100000000000001" customHeight="1" x14ac:dyDescent="0.25">
      <c r="A404" s="163">
        <f t="shared" si="357"/>
        <v>612</v>
      </c>
      <c r="B404" s="172">
        <v>42845</v>
      </c>
      <c r="C404" s="215">
        <v>2355.84</v>
      </c>
      <c r="D404" s="171">
        <f t="shared" si="516"/>
        <v>7.5571921631019442E-3</v>
      </c>
      <c r="E404" s="209">
        <f t="shared" ref="E404" si="526">(C404-$C$2)/$C$2</f>
        <v>0.12052662620574194</v>
      </c>
      <c r="F404" s="219">
        <v>5916.77</v>
      </c>
      <c r="G404" s="171">
        <f t="shared" si="518"/>
        <v>9.1659090947855786E-3</v>
      </c>
      <c r="H404" s="203">
        <f t="shared" ref="H404" si="527">(F404-F$2)/F$2</f>
        <v>0.16204214702358755</v>
      </c>
      <c r="I404" s="221">
        <v>413381.09</v>
      </c>
      <c r="J404" s="173">
        <v>400000</v>
      </c>
      <c r="K404" s="173">
        <f t="shared" ref="K404" si="528">I404-I403-J404+J403</f>
        <v>1327.2600000000093</v>
      </c>
      <c r="L404" s="171">
        <f t="shared" si="510"/>
        <v>3.2210840025440591E-3</v>
      </c>
      <c r="M404" s="182">
        <f t="shared" ref="M404" si="529">I404-J404</f>
        <v>13381.090000000026</v>
      </c>
      <c r="N404" s="184">
        <f t="shared" ref="N404" si="530">M404/J404</f>
        <v>3.3452725000000065E-2</v>
      </c>
      <c r="O404" s="183">
        <f t="shared" si="418"/>
        <v>1.996504543504906E-2</v>
      </c>
      <c r="P404" s="182" t="b">
        <f t="shared" ref="P404" si="531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32">I404-R404</f>
        <v>126625.29000000004</v>
      </c>
      <c r="T404" s="173">
        <v>-34560</v>
      </c>
      <c r="U404" s="173">
        <f t="shared" ref="U404" si="533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9"/>
        <v>6.069830200870012E-2</v>
      </c>
      <c r="Y404" s="807">
        <f t="shared" si="160"/>
        <v>-8.7073901205741877E-2</v>
      </c>
    </row>
    <row r="405" spans="1:25" ht="20.100000000000001" customHeight="1" x14ac:dyDescent="0.25">
      <c r="A405" s="163">
        <f t="shared" si="357"/>
        <v>613</v>
      </c>
      <c r="B405" s="172">
        <v>42846</v>
      </c>
      <c r="C405" s="215">
        <v>2348.69</v>
      </c>
      <c r="D405" s="171">
        <f t="shared" si="516"/>
        <v>-3.035010866612372E-3</v>
      </c>
      <c r="E405" s="209">
        <f t="shared" ref="E405" si="534">(C405-$C$2)/$C$2</f>
        <v>0.11712581571887902</v>
      </c>
      <c r="F405" s="219">
        <v>5910.52</v>
      </c>
      <c r="G405" s="171">
        <f t="shared" si="518"/>
        <v>-1.0563195797707195E-3</v>
      </c>
      <c r="H405" s="203">
        <f t="shared" ref="H405" si="535">(F405-F$2)/F$2</f>
        <v>0.16081465915116772</v>
      </c>
      <c r="I405" s="221">
        <v>413138.88</v>
      </c>
      <c r="J405" s="173">
        <v>400000</v>
      </c>
      <c r="K405" s="173">
        <f t="shared" ref="K405" si="536">I405-I404-J405+J404</f>
        <v>-242.21000000002095</v>
      </c>
      <c r="L405" s="171">
        <f t="shared" si="510"/>
        <v>-5.8592423760850051E-4</v>
      </c>
      <c r="M405" s="182">
        <f t="shared" ref="M405" si="537">I405-J405</f>
        <v>13138.880000000005</v>
      </c>
      <c r="N405" s="184">
        <f t="shared" ref="N405" si="538">M405/J405</f>
        <v>3.2847200000000014E-2</v>
      </c>
      <c r="O405" s="183">
        <f t="shared" si="418"/>
        <v>1.9571679934747153E-2</v>
      </c>
      <c r="P405" s="182" t="b">
        <f t="shared" ref="P405" si="539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40">I405-R405</f>
        <v>115671.28000000003</v>
      </c>
      <c r="T405" s="173">
        <v>-34397</v>
      </c>
      <c r="U405" s="173">
        <f t="shared" ref="U405" si="541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9"/>
        <v>5.9576313573973423E-2</v>
      </c>
      <c r="Y405" s="807">
        <f t="shared" si="160"/>
        <v>-8.4278615718879013E-2</v>
      </c>
    </row>
    <row r="406" spans="1:25" ht="20.100000000000001" customHeight="1" x14ac:dyDescent="0.25">
      <c r="A406" s="163">
        <f t="shared" si="357"/>
        <v>616</v>
      </c>
      <c r="B406" s="242">
        <v>42849</v>
      </c>
      <c r="C406" s="332">
        <v>2374.15</v>
      </c>
      <c r="D406" s="171">
        <f t="shared" si="516"/>
        <v>1.084008532415944E-2</v>
      </c>
      <c r="E406" s="244">
        <f t="shared" ref="E406" si="542">(C406-$C$2)/$C$2</f>
        <v>0.12923555487909288</v>
      </c>
      <c r="F406" s="245">
        <v>5983.81</v>
      </c>
      <c r="G406" s="171">
        <f t="shared" si="518"/>
        <v>1.2399924202946604E-2</v>
      </c>
      <c r="H406" s="246">
        <f t="shared" ref="H406" si="543">(F406-F$2)/F$2</f>
        <v>0.17520867293831149</v>
      </c>
      <c r="I406" s="553">
        <v>413141.03</v>
      </c>
      <c r="J406" s="248">
        <v>400000</v>
      </c>
      <c r="K406" s="248">
        <f t="shared" ref="K406" si="544">I406-I405-J406+J405</f>
        <v>2.1500000000232831</v>
      </c>
      <c r="L406" s="171">
        <f t="shared" si="510"/>
        <v>5.2040611622495641E-6</v>
      </c>
      <c r="M406" s="586">
        <f t="shared" ref="M406" si="545">I406-J406</f>
        <v>13141.030000000028</v>
      </c>
      <c r="N406" s="250">
        <f t="shared" ref="N406" si="546">M406/J406</f>
        <v>3.2852575000000071E-2</v>
      </c>
      <c r="O406" s="183">
        <f t="shared" si="418"/>
        <v>1.9479550355113676E-2</v>
      </c>
      <c r="P406" s="249" t="b">
        <f t="shared" ref="P406" si="547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8">I406-R406</f>
        <v>115678.43000000005</v>
      </c>
      <c r="T406" s="248">
        <v>-34227</v>
      </c>
      <c r="U406" s="248">
        <f t="shared" ref="U406" si="549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9"/>
        <v>5.9369529549032775E-2</v>
      </c>
      <c r="Y406" s="807">
        <f t="shared" si="160"/>
        <v>-9.6382979879092806E-2</v>
      </c>
    </row>
    <row r="407" spans="1:25" ht="20.100000000000001" customHeight="1" x14ac:dyDescent="0.25">
      <c r="A407" s="163">
        <f t="shared" si="357"/>
        <v>617</v>
      </c>
      <c r="B407" s="242">
        <v>42850</v>
      </c>
      <c r="C407" s="332">
        <v>2388.61</v>
      </c>
      <c r="D407" s="171">
        <f t="shared" ref="D407" si="550">(C407-C406)/C406</f>
        <v>6.0906008466188053E-3</v>
      </c>
      <c r="E407" s="244">
        <f t="shared" ref="E407" si="551">(C407-$C$2)/$C$2</f>
        <v>0.13611327790567154</v>
      </c>
      <c r="F407" s="245">
        <v>6025.49</v>
      </c>
      <c r="G407" s="171">
        <f t="shared" ref="G407" si="552">(F407-F406)/F406</f>
        <v>6.9654618044355313E-3</v>
      </c>
      <c r="H407" s="246">
        <f t="shared" ref="H407" si="553">(F407-F$2)/F$2</f>
        <v>0.18339454406190467</v>
      </c>
      <c r="I407" s="553">
        <v>416914.62</v>
      </c>
      <c r="J407" s="248">
        <v>400000</v>
      </c>
      <c r="K407" s="248">
        <f t="shared" ref="K407" si="554">I407-I406-J407+J406</f>
        <v>3773.5899999999674</v>
      </c>
      <c r="L407" s="171">
        <f t="shared" ref="L407:L411" si="555">K407/I406</f>
        <v>9.1339027740720089E-3</v>
      </c>
      <c r="M407" s="586">
        <f t="shared" ref="M407" si="556">I407-J407</f>
        <v>16914.619999999995</v>
      </c>
      <c r="N407" s="250">
        <f t="shared" ref="N407" si="557">M407/J407</f>
        <v>4.2286549999999985E-2</v>
      </c>
      <c r="O407" s="183">
        <f t="shared" si="418"/>
        <v>2.5032678099675843E-2</v>
      </c>
      <c r="P407" s="249" t="b">
        <f t="shared" ref="P407" si="558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9">I407-R407</f>
        <v>120597.12</v>
      </c>
      <c r="T407" s="248">
        <v>-34395</v>
      </c>
      <c r="U407" s="248">
        <f t="shared" ref="U407" si="560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9"/>
        <v>7.6372476990140006E-2</v>
      </c>
      <c r="Y407" s="807">
        <f t="shared" si="160"/>
        <v>-9.3826727905671564E-2</v>
      </c>
    </row>
    <row r="408" spans="1:25" ht="20.100000000000001" customHeight="1" x14ac:dyDescent="0.25">
      <c r="A408" s="163">
        <f t="shared" si="357"/>
        <v>618</v>
      </c>
      <c r="B408" s="242">
        <v>42851</v>
      </c>
      <c r="C408" s="332">
        <v>2387.4499999999998</v>
      </c>
      <c r="D408" s="171">
        <f t="shared" ref="D408" si="561">(C408-C407)/C407</f>
        <v>-4.8563809077258708E-4</v>
      </c>
      <c r="E408" s="244">
        <f t="shared" ref="E408" si="562">(C408-$C$2)/$C$2</f>
        <v>0.13556153802248805</v>
      </c>
      <c r="F408" s="245">
        <v>6025.22</v>
      </c>
      <c r="G408" s="171">
        <f t="shared" ref="G408:G411" si="563">(F408-F407)/F407</f>
        <v>-4.4809633739252256E-5</v>
      </c>
      <c r="H408" s="246">
        <f t="shared" ref="H408" si="564">(F408-F$2)/F$2</f>
        <v>0.18334151658581621</v>
      </c>
      <c r="I408" s="553">
        <v>415083.58</v>
      </c>
      <c r="J408" s="248">
        <v>400000</v>
      </c>
      <c r="K408" s="248">
        <f t="shared" ref="K408" si="565">I408-I407-J408+J407</f>
        <v>-1831.039999999979</v>
      </c>
      <c r="L408" s="171">
        <f t="shared" si="555"/>
        <v>-4.3918824434604356E-3</v>
      </c>
      <c r="M408" s="586">
        <f t="shared" ref="M408" si="566">I408-J408</f>
        <v>15083.580000000016</v>
      </c>
      <c r="N408" s="250">
        <f t="shared" ref="N408" si="567">M408/J408</f>
        <v>3.770895000000004E-2</v>
      </c>
      <c r="O408" s="183">
        <f t="shared" si="418"/>
        <v>2.2286721662621384E-2</v>
      </c>
      <c r="P408" s="249" t="b">
        <f t="shared" ref="P408" si="568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9">I408-R408</f>
        <v>126993.98000000004</v>
      </c>
      <c r="T408" s="248">
        <v>-34530</v>
      </c>
      <c r="U408" s="248">
        <f t="shared" ref="U408" si="570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9"/>
        <v>6.8074105283619041E-2</v>
      </c>
      <c r="Y408" s="807">
        <f t="shared" si="160"/>
        <v>-9.7852588022488002E-2</v>
      </c>
    </row>
    <row r="409" spans="1:25" ht="20.100000000000001" customHeight="1" x14ac:dyDescent="0.25">
      <c r="A409" s="163">
        <f t="shared" si="357"/>
        <v>619</v>
      </c>
      <c r="B409" s="242">
        <v>42852</v>
      </c>
      <c r="C409" s="332">
        <v>2388.77</v>
      </c>
      <c r="D409" s="171">
        <f t="shared" ref="D409:D411" si="571">(C409-C408)/C408</f>
        <v>5.5289116002436227E-4</v>
      </c>
      <c r="E409" s="244">
        <f t="shared" ref="E409" si="572">(C409-$C$2)/$C$2</f>
        <v>0.13618937995852434</v>
      </c>
      <c r="F409" s="245">
        <v>6048.93</v>
      </c>
      <c r="G409" s="171">
        <f t="shared" si="563"/>
        <v>3.9351260202947005E-3</v>
      </c>
      <c r="H409" s="246">
        <f t="shared" ref="H409" si="573">(F409-F$2)/F$2</f>
        <v>0.18799811457862806</v>
      </c>
      <c r="I409" s="553">
        <v>412891.26</v>
      </c>
      <c r="J409" s="248">
        <v>400000</v>
      </c>
      <c r="K409" s="248">
        <f t="shared" ref="K409" si="574">I409-I408-J409+J408</f>
        <v>-2192.320000000007</v>
      </c>
      <c r="L409" s="171">
        <f t="shared" si="555"/>
        <v>-5.2816350866011297E-3</v>
      </c>
      <c r="M409" s="586">
        <f t="shared" ref="M409" si="575">I409-J409</f>
        <v>12891.260000000009</v>
      </c>
      <c r="N409" s="250">
        <f t="shared" ref="N409" si="576">M409/J409</f>
        <v>3.2228150000000025E-2</v>
      </c>
      <c r="O409" s="183">
        <f t="shared" si="418"/>
        <v>1.9016691094507286E-2</v>
      </c>
      <c r="P409" s="249" t="b">
        <f t="shared" ref="P409" si="577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8">I409-R409</f>
        <v>124800.66000000003</v>
      </c>
      <c r="T409" s="248">
        <v>-34529</v>
      </c>
      <c r="U409" s="248">
        <f t="shared" ref="U409" si="579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9"/>
        <v>5.8151874093265159E-2</v>
      </c>
      <c r="Y409" s="807">
        <f t="shared" si="160"/>
        <v>-0.10396122995852432</v>
      </c>
    </row>
    <row r="410" spans="1:25" ht="20.100000000000001" customHeight="1" x14ac:dyDescent="0.25">
      <c r="A410" s="163">
        <f t="shared" si="357"/>
        <v>620</v>
      </c>
      <c r="B410" s="242">
        <v>42853</v>
      </c>
      <c r="C410" s="332">
        <v>2384.1999999999998</v>
      </c>
      <c r="D410" s="171">
        <f t="shared" si="571"/>
        <v>-1.913118466826092E-3</v>
      </c>
      <c r="E410" s="244">
        <f t="shared" ref="E410" si="580">(C410-$C$2)/$C$2</f>
        <v>0.13401571507391399</v>
      </c>
      <c r="F410" s="245">
        <v>6047.6</v>
      </c>
      <c r="G410" s="171">
        <f t="shared" si="563"/>
        <v>-2.1987359747921155E-4</v>
      </c>
      <c r="H410" s="246">
        <f t="shared" ref="H410" si="581">(F410-F$2)/F$2</f>
        <v>0.18773690515937713</v>
      </c>
      <c r="I410" s="652">
        <v>363198.65</v>
      </c>
      <c r="J410" s="248">
        <v>350000</v>
      </c>
      <c r="K410" s="248">
        <f t="shared" ref="K410" si="582">I410-I409-J410+J409</f>
        <v>307.39000000001397</v>
      </c>
      <c r="L410" s="171">
        <f t="shared" si="555"/>
        <v>7.4448173109795048E-4</v>
      </c>
      <c r="M410" s="413">
        <f t="shared" ref="M410" si="583">I410-J410</f>
        <v>13198.650000000023</v>
      </c>
      <c r="N410" s="250">
        <f t="shared" ref="N410" si="584">M410/J410</f>
        <v>3.7710428571428638E-2</v>
      </c>
      <c r="O410" s="183">
        <f t="shared" si="418"/>
        <v>2.2215700057603725E-2</v>
      </c>
      <c r="P410" s="249" t="b">
        <f t="shared" ref="P410" si="585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6">I410-R410</f>
        <v>82142.450000000012</v>
      </c>
      <c r="T410" s="248">
        <v>-33907</v>
      </c>
      <c r="U410" s="248">
        <f t="shared" ref="U410" si="587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9"/>
        <v>6.8017848414612544E-2</v>
      </c>
      <c r="Y410" s="807">
        <f t="shared" si="160"/>
        <v>-9.6305286502485349E-2</v>
      </c>
    </row>
    <row r="411" spans="1:25" ht="20.100000000000001" customHeight="1" x14ac:dyDescent="0.25">
      <c r="A411" s="163">
        <f t="shared" si="357"/>
        <v>623</v>
      </c>
      <c r="B411" s="172">
        <v>42856</v>
      </c>
      <c r="C411" s="215">
        <v>2388.33</v>
      </c>
      <c r="D411" s="171">
        <f t="shared" si="571"/>
        <v>1.7322372284204804E-3</v>
      </c>
      <c r="E411" s="209">
        <f t="shared" ref="E411" si="588">(C411-$C$2)/$C$2</f>
        <v>0.13598009931317892</v>
      </c>
      <c r="F411" s="219">
        <v>6091.6</v>
      </c>
      <c r="G411" s="171">
        <f t="shared" si="563"/>
        <v>7.2756134664991069E-3</v>
      </c>
      <c r="H411" s="203">
        <f t="shared" ref="H411" si="589">(F411-F$2)/F$2</f>
        <v>0.19637841978121268</v>
      </c>
      <c r="I411" s="221">
        <v>362499.32</v>
      </c>
      <c r="J411" s="173">
        <v>350000</v>
      </c>
      <c r="K411" s="173">
        <f t="shared" ref="K411" si="590">I411-I410-J411+J410</f>
        <v>-699.3300000000163</v>
      </c>
      <c r="L411" s="171">
        <f t="shared" si="555"/>
        <v>-1.9254752185891007E-3</v>
      </c>
      <c r="M411" s="182">
        <f t="shared" ref="M411" si="591">I411-J411</f>
        <v>12499.320000000007</v>
      </c>
      <c r="N411" s="184">
        <f t="shared" ref="N411" si="592">M411/J411</f>
        <v>3.5712342857142879E-2</v>
      </c>
      <c r="O411" s="183">
        <f t="shared" si="418"/>
        <v>2.0937292501719801E-2</v>
      </c>
      <c r="P411" s="182" t="b">
        <f t="shared" ref="P411" si="593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94">I411-R411</f>
        <v>86672.419999999984</v>
      </c>
      <c r="T411" s="173">
        <v>-33709</v>
      </c>
      <c r="U411" s="173">
        <f t="shared" ref="U411" si="595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6">O411/W411</f>
        <v>6.4181339519696803E-2</v>
      </c>
      <c r="Y411" s="807">
        <f t="shared" ref="Y411:Y474" si="597">-(E411-N411)</f>
        <v>-0.10026775645603604</v>
      </c>
    </row>
    <row r="412" spans="1:25" ht="20.100000000000001" customHeight="1" x14ac:dyDescent="0.25">
      <c r="A412" s="163">
        <f t="shared" si="357"/>
        <v>624</v>
      </c>
      <c r="B412" s="172">
        <v>42857</v>
      </c>
      <c r="C412" s="215">
        <v>2391.17</v>
      </c>
      <c r="D412" s="171">
        <f t="shared" ref="D412" si="598">(C412-C411)/C411</f>
        <v>1.1891154069999311E-3</v>
      </c>
      <c r="E412" s="209">
        <f t="shared" ref="E412" si="599">(C412-$C$2)/$C$2</f>
        <v>0.13733091075131751</v>
      </c>
      <c r="F412" s="219">
        <v>6095.36</v>
      </c>
      <c r="G412" s="171">
        <f t="shared" ref="G412:G441" si="600">(F412-F411)/F411</f>
        <v>6.1724341716450667E-4</v>
      </c>
      <c r="H412" s="203">
        <f t="shared" ref="H412" si="601">(F412-F$2)/F$2</f>
        <v>0.1971168764852603</v>
      </c>
      <c r="I412" s="221">
        <v>359669.82</v>
      </c>
      <c r="J412" s="173">
        <v>350000</v>
      </c>
      <c r="K412" s="173">
        <f t="shared" ref="K412" si="602">I412-I411-J412+J411</f>
        <v>-2829.5</v>
      </c>
      <c r="L412" s="171">
        <f t="shared" ref="L412:L441" si="603">K412/I411</f>
        <v>-7.8055318834804989E-3</v>
      </c>
      <c r="M412" s="182">
        <f t="shared" ref="M412" si="604">I412-J412</f>
        <v>9669.820000000007</v>
      </c>
      <c r="N412" s="184">
        <f t="shared" ref="N412" si="605">M412/J412</f>
        <v>2.7628057142857161E-2</v>
      </c>
      <c r="O412" s="183">
        <f t="shared" si="418"/>
        <v>1.6171711332417592E-2</v>
      </c>
      <c r="P412" s="182" t="b">
        <f t="shared" ref="P412" si="606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7">I412-R412</f>
        <v>81255.419999999984</v>
      </c>
      <c r="T412" s="173">
        <v>-34708</v>
      </c>
      <c r="U412" s="173">
        <f t="shared" ref="U412" si="608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6"/>
        <v>4.9623666361723308E-2</v>
      </c>
      <c r="Y412" s="807">
        <f t="shared" si="597"/>
        <v>-0.10970285360846035</v>
      </c>
    </row>
    <row r="413" spans="1:25" ht="20.100000000000001" customHeight="1" x14ac:dyDescent="0.25">
      <c r="A413" s="163">
        <f t="shared" si="357"/>
        <v>625</v>
      </c>
      <c r="B413" s="172">
        <v>42858</v>
      </c>
      <c r="C413" s="215">
        <v>2388.13</v>
      </c>
      <c r="D413" s="171">
        <f t="shared" ref="D413" si="609">(C413-C412)/C412</f>
        <v>-1.2713441536988017E-3</v>
      </c>
      <c r="E413" s="209">
        <f t="shared" ref="E413" si="610">(C413-$C$2)/$C$2</f>
        <v>0.13588497174711289</v>
      </c>
      <c r="F413" s="219">
        <v>6072.55</v>
      </c>
      <c r="G413" s="171">
        <f t="shared" si="600"/>
        <v>-3.7421907811842929E-3</v>
      </c>
      <c r="H413" s="203">
        <f t="shared" ref="H413" si="611">(F413-F$2)/F$2</f>
        <v>0.19263703674607702</v>
      </c>
      <c r="I413" s="221">
        <v>359426.22</v>
      </c>
      <c r="J413" s="173">
        <v>350000</v>
      </c>
      <c r="K413" s="173">
        <f t="shared" ref="K413" si="612">I413-I412-J413+J412</f>
        <v>-243.60000000003492</v>
      </c>
      <c r="L413" s="171">
        <f t="shared" si="603"/>
        <v>-6.7728785250882302E-4</v>
      </c>
      <c r="M413" s="182">
        <f t="shared" ref="M413" si="613">I413-J413</f>
        <v>9426.2199999999721</v>
      </c>
      <c r="N413" s="184">
        <f t="shared" ref="N413" si="614">M413/J413</f>
        <v>2.6932057142857062E-2</v>
      </c>
      <c r="O413" s="183">
        <f t="shared" si="418"/>
        <v>1.5739094194285666E-2</v>
      </c>
      <c r="P413" s="182" t="b">
        <f t="shared" ref="P413" si="615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16">I413-R413</f>
        <v>78857.419999999984</v>
      </c>
      <c r="T413" s="173">
        <v>-36065</v>
      </c>
      <c r="U413" s="173">
        <f t="shared" ref="U413" si="617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6"/>
        <v>4.8354974527723617E-2</v>
      </c>
      <c r="Y413" s="807">
        <f t="shared" si="597"/>
        <v>-0.10895291460425582</v>
      </c>
    </row>
    <row r="414" spans="1:25" ht="20.100000000000001" customHeight="1" x14ac:dyDescent="0.25">
      <c r="A414" s="163">
        <f t="shared" si="357"/>
        <v>626</v>
      </c>
      <c r="B414" s="172">
        <v>42859</v>
      </c>
      <c r="C414" s="215">
        <v>2389.52</v>
      </c>
      <c r="D414" s="171">
        <f t="shared" ref="D414:D426" si="618">(C414-C413)/C413</f>
        <v>5.8204536603948388E-4</v>
      </c>
      <c r="E414" s="209">
        <f t="shared" ref="E414" si="619">(C414-$C$2)/$C$2</f>
        <v>0.1365461083312722</v>
      </c>
      <c r="F414" s="219">
        <v>6075.33</v>
      </c>
      <c r="G414" s="171">
        <f t="shared" si="600"/>
        <v>4.5779779499547063E-4</v>
      </c>
      <c r="H414" s="203">
        <f t="shared" ref="H414" si="620">(F414-F$2)/F$2</f>
        <v>0.19318302335172932</v>
      </c>
      <c r="I414" s="221">
        <v>354486.32</v>
      </c>
      <c r="J414" s="173">
        <v>350000</v>
      </c>
      <c r="K414" s="173">
        <f t="shared" ref="K414" si="621">I414-I413-J414+J413</f>
        <v>-4939.8999999999651</v>
      </c>
      <c r="L414" s="171">
        <f t="shared" si="603"/>
        <v>-1.3743849850464347E-2</v>
      </c>
      <c r="M414" s="182">
        <f t="shared" ref="M414" si="622">I414-J414</f>
        <v>4486.320000000007</v>
      </c>
      <c r="N414" s="184">
        <f t="shared" ref="N414" si="623">M414/J414</f>
        <v>1.2818057142857163E-2</v>
      </c>
      <c r="O414" s="183">
        <f t="shared" si="418"/>
        <v>7.4789063441351097E-3</v>
      </c>
      <c r="P414" s="182" t="b">
        <f t="shared" ref="P414" si="624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25">I414-R414</f>
        <v>78857.419999999984</v>
      </c>
      <c r="T414" s="173">
        <v>-36518</v>
      </c>
      <c r="U414" s="173">
        <f t="shared" ref="U414" si="626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6"/>
        <v>2.2991858185174078E-2</v>
      </c>
      <c r="Y414" s="807">
        <f t="shared" si="597"/>
        <v>-0.12372805118841504</v>
      </c>
    </row>
    <row r="415" spans="1:25" ht="20.100000000000001" customHeight="1" x14ac:dyDescent="0.25">
      <c r="A415" s="163">
        <f t="shared" si="357"/>
        <v>627</v>
      </c>
      <c r="B415" s="172">
        <v>42860</v>
      </c>
      <c r="C415" s="215">
        <v>2399.29</v>
      </c>
      <c r="D415" s="171">
        <f t="shared" si="618"/>
        <v>4.0886872677357716E-3</v>
      </c>
      <c r="E415" s="209">
        <f t="shared" ref="E415" si="627">(C415-$C$2)/$C$2</f>
        <v>0.14119308993360091</v>
      </c>
      <c r="F415" s="219">
        <v>6100.75</v>
      </c>
      <c r="G415" s="171">
        <f t="shared" si="600"/>
        <v>4.1841348535799818E-3</v>
      </c>
      <c r="H415" s="203">
        <f t="shared" ref="H415" si="628">(F415-F$2)/F$2</f>
        <v>0.19817546202643521</v>
      </c>
      <c r="I415" s="221">
        <v>357180.36</v>
      </c>
      <c r="J415" s="173">
        <v>350000</v>
      </c>
      <c r="K415" s="173">
        <f t="shared" ref="K415" si="629">I415-I414-J415+J414</f>
        <v>2694.039999999979</v>
      </c>
      <c r="L415" s="171">
        <f t="shared" si="603"/>
        <v>7.5998419346619047E-3</v>
      </c>
      <c r="M415" s="182">
        <f t="shared" ref="M415" si="630">I415-J415</f>
        <v>7180.359999999986</v>
      </c>
      <c r="N415" s="184">
        <f t="shared" ref="N415" si="631">M415/J415</f>
        <v>2.0515314285714247E-2</v>
      </c>
      <c r="O415" s="183">
        <f t="shared" si="418"/>
        <v>1.1950906766917272E-2</v>
      </c>
      <c r="P415" s="182" t="b">
        <f t="shared" ref="P415" si="632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33">I415-R415</f>
        <v>77439.359999999986</v>
      </c>
      <c r="T415" s="173">
        <v>-36093</v>
      </c>
      <c r="U415" s="173">
        <f t="shared" ref="U415" si="634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6"/>
        <v>3.6779045414986541E-2</v>
      </c>
      <c r="Y415" s="807">
        <f t="shared" si="597"/>
        <v>-0.12067777564788666</v>
      </c>
    </row>
    <row r="416" spans="1:25" ht="20.100000000000001" customHeight="1" x14ac:dyDescent="0.25">
      <c r="A416" s="163">
        <f t="shared" si="357"/>
        <v>630</v>
      </c>
      <c r="B416" s="242">
        <v>42863</v>
      </c>
      <c r="C416" s="332">
        <v>2399.38</v>
      </c>
      <c r="D416" s="171">
        <f t="shared" si="618"/>
        <v>3.7511097032932877E-5</v>
      </c>
      <c r="E416" s="244">
        <f t="shared" ref="E416" si="635">(C416-$C$2)/$C$2</f>
        <v>0.14123589733833072</v>
      </c>
      <c r="F416" s="245">
        <v>6102.66</v>
      </c>
      <c r="G416" s="171">
        <f t="shared" si="600"/>
        <v>3.1307626111541279E-4</v>
      </c>
      <c r="H416" s="246">
        <f t="shared" ref="H416" si="636">(F416-F$2)/F$2</f>
        <v>0.19855058232024669</v>
      </c>
      <c r="I416" s="553">
        <v>358405.67</v>
      </c>
      <c r="J416" s="248">
        <v>350000</v>
      </c>
      <c r="K416" s="248">
        <f t="shared" ref="K416" si="637">I416-I415-J416+J415</f>
        <v>1225.3099999999977</v>
      </c>
      <c r="L416" s="171">
        <f t="shared" si="603"/>
        <v>3.4305077692401613E-3</v>
      </c>
      <c r="M416" s="586">
        <f t="shared" ref="M416" si="638">I416-J416</f>
        <v>8405.6699999999837</v>
      </c>
      <c r="N416" s="250">
        <f t="shared" ref="N416" si="639">M416/J416</f>
        <v>2.4016199999999953E-2</v>
      </c>
      <c r="O416" s="183">
        <f t="shared" si="418"/>
        <v>1.392367785714283E-2</v>
      </c>
      <c r="P416" s="249" t="b">
        <f t="shared" ref="P416" si="640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41">I416-R416</f>
        <v>81721.669999999984</v>
      </c>
      <c r="T416" s="248">
        <v>-35635</v>
      </c>
      <c r="U416" s="248">
        <f t="shared" ref="U416" si="642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6"/>
        <v>4.2901155931702593E-2</v>
      </c>
      <c r="Y416" s="807">
        <f t="shared" si="597"/>
        <v>-0.11721969733833076</v>
      </c>
    </row>
    <row r="417" spans="1:25" ht="20.100000000000001" customHeight="1" x14ac:dyDescent="0.25">
      <c r="A417" s="163">
        <f t="shared" si="357"/>
        <v>631</v>
      </c>
      <c r="B417" s="242">
        <v>42864</v>
      </c>
      <c r="C417" s="332">
        <v>2396.92</v>
      </c>
      <c r="D417" s="171">
        <f t="shared" si="618"/>
        <v>-1.0252648600888713E-3</v>
      </c>
      <c r="E417" s="244">
        <f t="shared" ref="E417" si="643">(C417-$C$2)/$C$2</f>
        <v>0.14006582827571773</v>
      </c>
      <c r="F417" s="245">
        <v>6120.58</v>
      </c>
      <c r="G417" s="171">
        <f t="shared" si="600"/>
        <v>2.9364244444226081E-3</v>
      </c>
      <c r="H417" s="246">
        <f t="shared" ref="H417" si="644">(F417-F$2)/F$2</f>
        <v>0.20207003554804881</v>
      </c>
      <c r="I417" s="553">
        <v>357612.56</v>
      </c>
      <c r="J417" s="248">
        <v>350000</v>
      </c>
      <c r="K417" s="248">
        <f t="shared" ref="K417" si="645">I417-I416-J417+J416</f>
        <v>-793.10999999998603</v>
      </c>
      <c r="L417" s="171">
        <f t="shared" si="603"/>
        <v>-2.2128835182768903E-3</v>
      </c>
      <c r="M417" s="586">
        <f t="shared" ref="M417" si="646">I417-J417</f>
        <v>7612.5599999999977</v>
      </c>
      <c r="N417" s="250">
        <f t="shared" ref="N417" si="647">M417/J417</f>
        <v>2.1750171428571424E-2</v>
      </c>
      <c r="O417" s="183">
        <f t="shared" si="418"/>
        <v>1.2589936789676247E-2</v>
      </c>
      <c r="P417" s="249" t="b">
        <f t="shared" ref="P417" si="648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9">I417-R417</f>
        <v>106693.95999999999</v>
      </c>
      <c r="T417" s="248">
        <v>-36105</v>
      </c>
      <c r="U417" s="248">
        <f t="shared" ref="U417" si="650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6"/>
        <v>3.8837800778595243E-2</v>
      </c>
      <c r="Y417" s="807">
        <f t="shared" si="597"/>
        <v>-0.1183156568471463</v>
      </c>
    </row>
    <row r="418" spans="1:25" ht="20.100000000000001" customHeight="1" x14ac:dyDescent="0.25">
      <c r="A418" s="163">
        <f t="shared" si="357"/>
        <v>632</v>
      </c>
      <c r="B418" s="242">
        <v>42865</v>
      </c>
      <c r="C418" s="332">
        <v>2399.63</v>
      </c>
      <c r="D418" s="171">
        <f t="shared" si="618"/>
        <v>1.1306176259533219E-3</v>
      </c>
      <c r="E418" s="244">
        <f t="shared" ref="E418" si="651">(C418-$C$2)/$C$2</f>
        <v>0.14135480679591333</v>
      </c>
      <c r="F418" s="245">
        <v>6129.14</v>
      </c>
      <c r="G418" s="171">
        <f t="shared" si="600"/>
        <v>1.3985602671642884E-3</v>
      </c>
      <c r="H418" s="246">
        <f t="shared" ref="H418" si="652">(F418-F$2)/F$2</f>
        <v>0.20375120293811508</v>
      </c>
      <c r="I418" s="553">
        <v>364191.11</v>
      </c>
      <c r="J418" s="248">
        <v>350000</v>
      </c>
      <c r="K418" s="248">
        <f t="shared" ref="K418" si="653">I418-I417-J418+J417</f>
        <v>6578.5499999999884</v>
      </c>
      <c r="L418" s="171">
        <f t="shared" si="603"/>
        <v>1.839574650286329E-2</v>
      </c>
      <c r="M418" s="586">
        <f t="shared" ref="M418" si="654">I418-J418</f>
        <v>14191.109999999986</v>
      </c>
      <c r="N418" s="250">
        <f t="shared" ref="N418" si="655">M418/J418</f>
        <v>4.0546028571428534E-2</v>
      </c>
      <c r="O418" s="183">
        <f t="shared" si="418"/>
        <v>2.3432653379294736E-2</v>
      </c>
      <c r="P418" s="249" t="b">
        <f t="shared" ref="P418" si="656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7">I418-R418</f>
        <v>102644.90999999997</v>
      </c>
      <c r="T418" s="248">
        <v>-32756</v>
      </c>
      <c r="U418" s="248">
        <f t="shared" ref="U418" si="658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6"/>
        <v>7.2305894545873259E-2</v>
      </c>
      <c r="Y418" s="807">
        <f t="shared" si="597"/>
        <v>-0.10080877822448481</v>
      </c>
    </row>
    <row r="419" spans="1:25" ht="20.100000000000001" customHeight="1" x14ac:dyDescent="0.25">
      <c r="A419" s="163">
        <f t="shared" si="357"/>
        <v>633</v>
      </c>
      <c r="B419" s="242">
        <v>42866</v>
      </c>
      <c r="C419" s="332">
        <v>2394.44</v>
      </c>
      <c r="D419" s="171">
        <f t="shared" si="618"/>
        <v>-2.1628334368215328E-3</v>
      </c>
      <c r="E419" s="244">
        <f t="shared" ref="E419" si="659">(C419-$C$2)/$C$2</f>
        <v>0.13888624645649816</v>
      </c>
      <c r="F419" s="245">
        <v>6115.96</v>
      </c>
      <c r="G419" s="171">
        <f t="shared" si="600"/>
        <v>-2.1503832511576321E-3</v>
      </c>
      <c r="H419" s="246">
        <f t="shared" ref="H419" si="660">(F419-F$2)/F$2</f>
        <v>0.2011626765127561</v>
      </c>
      <c r="I419" s="553">
        <v>363186.71</v>
      </c>
      <c r="J419" s="248">
        <v>350000</v>
      </c>
      <c r="K419" s="248">
        <f t="shared" ref="K419" si="661">I419-I418-J419+J418</f>
        <v>-1004.3999999999651</v>
      </c>
      <c r="L419" s="171">
        <f t="shared" si="603"/>
        <v>-2.7578926899120768E-3</v>
      </c>
      <c r="M419" s="586">
        <f t="shared" ref="M419" si="662">I419-J419</f>
        <v>13186.710000000021</v>
      </c>
      <c r="N419" s="250">
        <f t="shared" ref="N419" si="663">M419/J419</f>
        <v>3.7676314285714343E-2</v>
      </c>
      <c r="O419" s="183">
        <f t="shared" si="418"/>
        <v>2.1739769025050811E-2</v>
      </c>
      <c r="P419" s="249" t="b">
        <f t="shared" ref="P419" si="664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65">I419-R419</f>
        <v>97902.610000000044</v>
      </c>
      <c r="T419" s="248">
        <v>-32128</v>
      </c>
      <c r="U419" s="248">
        <f t="shared" ref="U419" si="666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6"/>
        <v>6.7160876851205475E-2</v>
      </c>
      <c r="Y419" s="807">
        <f t="shared" si="597"/>
        <v>-0.10120993217078382</v>
      </c>
    </row>
    <row r="420" spans="1:25" ht="20.100000000000001" customHeight="1" x14ac:dyDescent="0.25">
      <c r="A420" s="163">
        <f t="shared" si="357"/>
        <v>634</v>
      </c>
      <c r="B420" s="242">
        <v>42867</v>
      </c>
      <c r="C420" s="332">
        <v>2390.9</v>
      </c>
      <c r="D420" s="171">
        <f t="shared" si="618"/>
        <v>-1.4784250179582547E-3</v>
      </c>
      <c r="E420" s="244">
        <f t="shared" ref="E420" si="667">(C420-$C$2)/$C$2</f>
        <v>0.1372024885371283</v>
      </c>
      <c r="F420" s="245">
        <v>6121.23</v>
      </c>
      <c r="G420" s="171">
        <f t="shared" si="600"/>
        <v>8.6167993250438639E-4</v>
      </c>
      <c r="H420" s="246">
        <f t="shared" ref="H420" si="668">(F420-F$2)/F$2</f>
        <v>0.20219769428678042</v>
      </c>
      <c r="I420" s="553">
        <v>359448.71</v>
      </c>
      <c r="J420" s="248">
        <v>350000</v>
      </c>
      <c r="K420" s="248">
        <f t="shared" ref="K420" si="669">I420-I419-J420+J419</f>
        <v>-3738</v>
      </c>
      <c r="L420" s="171">
        <f t="shared" si="603"/>
        <v>-1.0292226827352795E-2</v>
      </c>
      <c r="M420" s="586">
        <f t="shared" ref="M420" si="670">I420-J420</f>
        <v>9448.710000000021</v>
      </c>
      <c r="N420" s="250">
        <f t="shared" ref="N420" si="671">M420/J420</f>
        <v>2.6996314285714345E-2</v>
      </c>
      <c r="O420" s="183">
        <f t="shared" si="418"/>
        <v>1.555268737043717E-2</v>
      </c>
      <c r="P420" s="249" t="b">
        <f t="shared" ref="P420" si="672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73">I420-R420</f>
        <v>93306.610000000044</v>
      </c>
      <c r="T420" s="248">
        <v>-32431</v>
      </c>
      <c r="U420" s="248">
        <f t="shared" ref="U420" si="674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6"/>
        <v>4.8088608293592995E-2</v>
      </c>
      <c r="Y420" s="807">
        <f t="shared" si="597"/>
        <v>-0.11020617425141395</v>
      </c>
    </row>
    <row r="421" spans="1:25" ht="20.100000000000001" customHeight="1" x14ac:dyDescent="0.25">
      <c r="A421" s="163">
        <f t="shared" si="357"/>
        <v>637</v>
      </c>
      <c r="B421" s="172">
        <v>42870</v>
      </c>
      <c r="C421" s="215">
        <v>2402.3200000000002</v>
      </c>
      <c r="D421" s="171">
        <f t="shared" si="618"/>
        <v>4.7764440168974326E-3</v>
      </c>
      <c r="E421" s="209">
        <f t="shared" ref="E421" si="675">(C421-$C$2)/$C$2</f>
        <v>0.14263427255950234</v>
      </c>
      <c r="F421" s="219">
        <v>6149.47</v>
      </c>
      <c r="G421" s="171">
        <f t="shared" si="600"/>
        <v>4.6134518716010823E-3</v>
      </c>
      <c r="H421" s="203">
        <f t="shared" ref="H421" si="676">(F421-F$2)/F$2</f>
        <v>0.20774397548952225</v>
      </c>
      <c r="I421" s="221">
        <v>361662.81</v>
      </c>
      <c r="J421" s="173">
        <v>350000</v>
      </c>
      <c r="K421" s="173">
        <f t="shared" ref="K421" si="677">I421-I420-J421+J420</f>
        <v>2214.0999999999767</v>
      </c>
      <c r="L421" s="171">
        <f t="shared" si="603"/>
        <v>6.1597105189220925E-3</v>
      </c>
      <c r="M421" s="182">
        <f t="shared" ref="M421" si="678">I421-J421</f>
        <v>11662.809999999998</v>
      </c>
      <c r="N421" s="184">
        <f t="shared" ref="N421" si="679">M421/J421</f>
        <v>3.3322314285714277E-2</v>
      </c>
      <c r="O421" s="183">
        <f t="shared" si="418"/>
        <v>1.9106711605741192E-2</v>
      </c>
      <c r="P421" s="182" t="b">
        <f t="shared" ref="P421" si="680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81">I421-R421</f>
        <v>93306.609999999986</v>
      </c>
      <c r="T421" s="173">
        <v>-31638</v>
      </c>
      <c r="U421" s="173">
        <f t="shared" ref="U421" si="682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6"/>
        <v>5.914288195044231E-2</v>
      </c>
      <c r="Y421" s="807">
        <f t="shared" si="597"/>
        <v>-0.10931195827378806</v>
      </c>
    </row>
    <row r="422" spans="1:25" ht="20.100000000000001" customHeight="1" x14ac:dyDescent="0.25">
      <c r="A422" s="163">
        <f t="shared" si="357"/>
        <v>638</v>
      </c>
      <c r="B422" s="172">
        <v>42871</v>
      </c>
      <c r="C422" s="215">
        <v>2400.67</v>
      </c>
      <c r="D422" s="171">
        <f t="shared" si="618"/>
        <v>-6.8683605847684362E-4</v>
      </c>
      <c r="E422" s="209">
        <f t="shared" ref="E422" si="683">(C422-$C$2)/$C$2</f>
        <v>0.14184947013945701</v>
      </c>
      <c r="F422" s="219">
        <v>6169.87</v>
      </c>
      <c r="G422" s="171">
        <f t="shared" si="600"/>
        <v>3.3173590569593211E-3</v>
      </c>
      <c r="H422" s="203">
        <f t="shared" ref="H422" si="684">(F422-F$2)/F$2</f>
        <v>0.21175049590510048</v>
      </c>
      <c r="I422" s="221">
        <v>359481.11</v>
      </c>
      <c r="J422" s="173">
        <v>350000</v>
      </c>
      <c r="K422" s="173">
        <f t="shared" ref="K422" si="685">I422-I421-J422+J421</f>
        <v>-2181.7000000000116</v>
      </c>
      <c r="L422" s="171">
        <f t="shared" si="603"/>
        <v>-6.0324145576372964E-3</v>
      </c>
      <c r="M422" s="182">
        <f t="shared" ref="M422" si="686">I422-J422</f>
        <v>9481.109999999986</v>
      </c>
      <c r="N422" s="184">
        <f t="shared" ref="N422" si="687">M422/J422</f>
        <v>2.7088885714285676E-2</v>
      </c>
      <c r="O422" s="183">
        <f t="shared" si="418"/>
        <v>1.5508174776085961E-2</v>
      </c>
      <c r="P422" s="182" t="b">
        <f t="shared" ref="P422" si="688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9">I422-R422</f>
        <v>87040.109999999986</v>
      </c>
      <c r="T422" s="173">
        <v>-31956</v>
      </c>
      <c r="U422" s="173">
        <f t="shared" ref="U422" si="690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6"/>
        <v>4.8055464194054549E-2</v>
      </c>
      <c r="Y422" s="807">
        <f t="shared" si="597"/>
        <v>-0.11476058442517133</v>
      </c>
    </row>
    <row r="423" spans="1:25" ht="20.100000000000001" customHeight="1" x14ac:dyDescent="0.25">
      <c r="A423" s="163">
        <f t="shared" si="357"/>
        <v>639</v>
      </c>
      <c r="B423" s="172">
        <v>42872</v>
      </c>
      <c r="C423" s="215">
        <v>2357.0300000000002</v>
      </c>
      <c r="D423" s="171">
        <f t="shared" si="618"/>
        <v>-1.8178258569482634E-2</v>
      </c>
      <c r="E423" s="209">
        <f t="shared" ref="E423" si="691">(C423-$C$2)/$C$2</f>
        <v>0.12109263522383523</v>
      </c>
      <c r="F423" s="219">
        <v>6011.23</v>
      </c>
      <c r="G423" s="171">
        <f t="shared" si="600"/>
        <v>-2.5712049038310422E-2</v>
      </c>
      <c r="H423" s="203">
        <f t="shared" ref="H423" si="692">(F423-F$2)/F$2</f>
        <v>0.18059390773219156</v>
      </c>
      <c r="I423" s="221">
        <v>358002.43</v>
      </c>
      <c r="J423" s="173">
        <v>350000</v>
      </c>
      <c r="K423" s="173">
        <f t="shared" ref="K423" si="693">I423-I422-J423+J422</f>
        <v>-1478.679999999993</v>
      </c>
      <c r="L423" s="171">
        <f t="shared" si="603"/>
        <v>-4.1133733007556175E-3</v>
      </c>
      <c r="M423" s="182">
        <f t="shared" ref="M423" si="694">I423-J423</f>
        <v>8002.429999999993</v>
      </c>
      <c r="N423" s="184">
        <f t="shared" ref="N423" si="695">M423/J423</f>
        <v>2.2864085714285696E-2</v>
      </c>
      <c r="O423" s="183">
        <f t="shared" si="418"/>
        <v>1.3069025519785369E-2</v>
      </c>
      <c r="P423" s="182" t="b">
        <f t="shared" ref="P423" si="696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7">I423-R423</f>
        <v>80759.080000000016</v>
      </c>
      <c r="T423" s="173">
        <v>-31003</v>
      </c>
      <c r="U423" s="173">
        <f t="shared" ref="U423" si="698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6"/>
        <v>4.0543061240968153E-2</v>
      </c>
      <c r="Y423" s="807">
        <f t="shared" si="597"/>
        <v>-9.822854950954954E-2</v>
      </c>
    </row>
    <row r="424" spans="1:25" ht="20.100000000000001" customHeight="1" x14ac:dyDescent="0.25">
      <c r="A424" s="163">
        <f t="shared" si="357"/>
        <v>640</v>
      </c>
      <c r="B424" s="172">
        <v>42873</v>
      </c>
      <c r="C424" s="215">
        <v>2365.7199999999998</v>
      </c>
      <c r="D424" s="171">
        <f t="shared" si="618"/>
        <v>3.686843188249449E-3</v>
      </c>
      <c r="E424" s="209">
        <f t="shared" ref="E424" si="699">(C424-$C$2)/$C$2</f>
        <v>0.12522592796940685</v>
      </c>
      <c r="F424" s="219">
        <v>6055.13</v>
      </c>
      <c r="G424" s="171">
        <f t="shared" si="600"/>
        <v>7.3029978889512714E-3</v>
      </c>
      <c r="H424" s="203">
        <f t="shared" ref="H424" si="700">(F424-F$2)/F$2</f>
        <v>0.18921578254806848</v>
      </c>
      <c r="I424" s="221">
        <v>358058.63</v>
      </c>
      <c r="J424" s="173">
        <v>350000</v>
      </c>
      <c r="K424" s="173">
        <f t="shared" ref="K424" si="701">I424-I423-J424+J423</f>
        <v>56.200000000011642</v>
      </c>
      <c r="L424" s="171">
        <f t="shared" si="603"/>
        <v>1.5698217467409827E-4</v>
      </c>
      <c r="M424" s="182">
        <f t="shared" ref="M424" si="702">I424-J424</f>
        <v>8058.6300000000047</v>
      </c>
      <c r="N424" s="184">
        <f t="shared" ref="N424" si="703">M424/J424</f>
        <v>2.3024657142857157E-2</v>
      </c>
      <c r="O424" s="183">
        <f t="shared" si="418"/>
        <v>1.3140243783482152E-2</v>
      </c>
      <c r="P424" s="182" t="b">
        <f t="shared" ref="P424" si="704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705">I424-R424</f>
        <v>80128.429999999993</v>
      </c>
      <c r="T424" s="173">
        <v>-30899</v>
      </c>
      <c r="U424" s="173">
        <f t="shared" ref="U424" si="706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6"/>
        <v>4.0812484616006534E-2</v>
      </c>
      <c r="Y424" s="807">
        <f t="shared" si="597"/>
        <v>-0.10220127082654969</v>
      </c>
    </row>
    <row r="425" spans="1:25" ht="20.100000000000001" customHeight="1" x14ac:dyDescent="0.25">
      <c r="A425" s="163">
        <f t="shared" si="357"/>
        <v>641</v>
      </c>
      <c r="B425" s="172">
        <v>42874</v>
      </c>
      <c r="C425" s="215">
        <v>2381.73</v>
      </c>
      <c r="D425" s="171">
        <f t="shared" si="618"/>
        <v>6.7674957306867334E-3</v>
      </c>
      <c r="E425" s="209">
        <f t="shared" ref="E425" si="707">(C425-$C$2)/$C$2</f>
        <v>0.13284088963299784</v>
      </c>
      <c r="F425" s="219">
        <v>6083.7</v>
      </c>
      <c r="G425" s="171">
        <f t="shared" si="600"/>
        <v>4.7183132319206537E-3</v>
      </c>
      <c r="H425" s="203">
        <f t="shared" ref="H425" si="708">(F425-F$2)/F$2</f>
        <v>0.19482687511047392</v>
      </c>
      <c r="I425" s="221">
        <v>363364.53</v>
      </c>
      <c r="J425" s="173">
        <v>350000</v>
      </c>
      <c r="K425" s="173">
        <f t="shared" ref="K425" si="709">I425-I424-J425+J424</f>
        <v>5305.9000000000233</v>
      </c>
      <c r="L425" s="171">
        <f t="shared" si="603"/>
        <v>1.4818522877105415E-2</v>
      </c>
      <c r="M425" s="182">
        <f t="shared" ref="M425" si="710">I425-J425</f>
        <v>13364.530000000028</v>
      </c>
      <c r="N425" s="184">
        <f t="shared" ref="N425" si="711">M425/J425</f>
        <v>3.8184371428571506E-2</v>
      </c>
      <c r="O425" s="183">
        <f t="shared" si="418"/>
        <v>2.1757943314018317E-2</v>
      </c>
      <c r="P425" s="182" t="b">
        <f t="shared" ref="P425" si="712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13">I425-R425</f>
        <v>99391.830000000016</v>
      </c>
      <c r="T425" s="173">
        <v>-29778</v>
      </c>
      <c r="U425" s="173">
        <f t="shared" ref="U425" si="714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6"/>
        <v>6.7618445378340095E-2</v>
      </c>
      <c r="Y425" s="807">
        <f t="shared" si="597"/>
        <v>-9.4656518204426332E-2</v>
      </c>
    </row>
    <row r="426" spans="1:25" ht="20.100000000000001" customHeight="1" x14ac:dyDescent="0.25">
      <c r="A426" s="163">
        <f t="shared" si="357"/>
        <v>644</v>
      </c>
      <c r="B426" s="242">
        <v>42877</v>
      </c>
      <c r="C426" s="332">
        <v>2394.02</v>
      </c>
      <c r="D426" s="171">
        <f t="shared" si="618"/>
        <v>5.1601147065368294E-3</v>
      </c>
      <c r="E426" s="244">
        <f t="shared" ref="E426" si="715">(C426-$C$2)/$C$2</f>
        <v>0.13868647856775931</v>
      </c>
      <c r="F426" s="245">
        <v>6133.61</v>
      </c>
      <c r="G426" s="171">
        <f t="shared" si="600"/>
        <v>8.2038890806581284E-3</v>
      </c>
      <c r="H426" s="246">
        <f t="shared" ref="H426" si="716">(F426-F$2)/F$2</f>
        <v>0.20462910226446959</v>
      </c>
      <c r="I426" s="553">
        <v>362670.23</v>
      </c>
      <c r="J426" s="248">
        <v>350000</v>
      </c>
      <c r="K426" s="248">
        <f t="shared" ref="K426" si="717">I426-I425-J426+J425</f>
        <v>-694.30000000004657</v>
      </c>
      <c r="L426" s="171">
        <f t="shared" si="603"/>
        <v>-1.9107533693507358E-3</v>
      </c>
      <c r="M426" s="586">
        <f t="shared" ref="M426" si="718">I426-J426</f>
        <v>12670.229999999981</v>
      </c>
      <c r="N426" s="250">
        <f t="shared" ref="N426" si="719">M426/J426</f>
        <v>3.6200657142857091E-2</v>
      </c>
      <c r="O426" s="183">
        <f t="shared" si="418"/>
        <v>2.0531506244454274E-2</v>
      </c>
      <c r="P426" s="249" t="b">
        <f t="shared" ref="P426" si="720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21">I426-R426</f>
        <v>99391.829999999958</v>
      </c>
      <c r="T426" s="248">
        <v>-30076</v>
      </c>
      <c r="U426" s="248">
        <f t="shared" ref="U426" si="722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6"/>
        <v>6.388146047577066E-2</v>
      </c>
      <c r="Y426" s="807">
        <f t="shared" si="597"/>
        <v>-0.10248582142490223</v>
      </c>
    </row>
    <row r="427" spans="1:25" ht="20.100000000000001" customHeight="1" x14ac:dyDescent="0.25">
      <c r="A427" s="163">
        <f t="shared" si="357"/>
        <v>645</v>
      </c>
      <c r="B427" s="242">
        <v>42878</v>
      </c>
      <c r="C427" s="332">
        <v>2398.42</v>
      </c>
      <c r="D427" s="171">
        <f t="shared" ref="D427" si="723">(C427-C426)/C426</f>
        <v>1.837912799391856E-3</v>
      </c>
      <c r="E427" s="244">
        <f t="shared" ref="E427" si="724">(C427-$C$2)/$C$2</f>
        <v>0.14077928502121345</v>
      </c>
      <c r="F427" s="245">
        <v>6138.71</v>
      </c>
      <c r="G427" s="171">
        <f t="shared" si="600"/>
        <v>8.3148423196133497E-4</v>
      </c>
      <c r="H427" s="246">
        <f t="shared" ref="H427" si="725">(F427-F$2)/F$2</f>
        <v>0.20563073236836424</v>
      </c>
      <c r="I427" s="553">
        <v>362550.99</v>
      </c>
      <c r="J427" s="248">
        <v>350000</v>
      </c>
      <c r="K427" s="248">
        <f t="shared" ref="K427" si="726">I427-I426-J427+J426</f>
        <v>-119.23999999999069</v>
      </c>
      <c r="L427" s="171">
        <f t="shared" si="603"/>
        <v>-3.2878353428675603E-4</v>
      </c>
      <c r="M427" s="586">
        <f t="shared" ref="M427" si="727">I427-J427</f>
        <v>12550.989999999991</v>
      </c>
      <c r="N427" s="250">
        <f t="shared" ref="N427" si="728">M427/J427</f>
        <v>3.5859971428571405E-2</v>
      </c>
      <c r="O427" s="183">
        <f t="shared" si="418"/>
        <v>2.0306751262458459E-2</v>
      </c>
      <c r="P427" s="249" t="b">
        <f t="shared" ref="P427" si="729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30">I427-R427</f>
        <v>99392.390000000014</v>
      </c>
      <c r="T427" s="248">
        <v>-30424</v>
      </c>
      <c r="U427" s="248">
        <f t="shared" ref="U427" si="731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6"/>
        <v>6.3256676160937969E-2</v>
      </c>
      <c r="Y427" s="807">
        <f t="shared" si="597"/>
        <v>-0.10491931359264205</v>
      </c>
    </row>
    <row r="428" spans="1:25" ht="20.100000000000001" customHeight="1" x14ac:dyDescent="0.25">
      <c r="A428" s="163">
        <f t="shared" si="357"/>
        <v>646</v>
      </c>
      <c r="B428" s="242">
        <v>42879</v>
      </c>
      <c r="C428" s="332">
        <v>2404.39</v>
      </c>
      <c r="D428" s="171">
        <f t="shared" ref="D428" si="732">(C428-C427)/C427</f>
        <v>2.4891386829662028E-3</v>
      </c>
      <c r="E428" s="244">
        <f t="shared" ref="E428" si="733">(C428-$C$2)/$C$2</f>
        <v>0.14361884286828627</v>
      </c>
      <c r="F428" s="245">
        <v>6163.02</v>
      </c>
      <c r="G428" s="171">
        <f t="shared" si="600"/>
        <v>3.9601153988379316E-3</v>
      </c>
      <c r="H428" s="246">
        <f t="shared" ref="H428" si="734">(F428-F$2)/F$2</f>
        <v>0.21040516919692848</v>
      </c>
      <c r="I428" s="553">
        <v>361217.77</v>
      </c>
      <c r="J428" s="248">
        <v>350000</v>
      </c>
      <c r="K428" s="248">
        <f t="shared" ref="K428" si="735">I428-I427-J428+J427</f>
        <v>-1333.2199999999721</v>
      </c>
      <c r="L428" s="171">
        <f t="shared" si="603"/>
        <v>-3.6773310148731689E-3</v>
      </c>
      <c r="M428" s="586">
        <f t="shared" ref="M428" si="736">I428-J428</f>
        <v>11217.770000000019</v>
      </c>
      <c r="N428" s="250">
        <f t="shared" ref="N428" si="737">M428/J428</f>
        <v>3.2050771428571483E-2</v>
      </c>
      <c r="O428" s="183">
        <f t="shared" si="418"/>
        <v>1.8121585548429929E-2</v>
      </c>
      <c r="P428" s="249" t="b">
        <f t="shared" ref="P428" si="738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9">I428-R428</f>
        <v>96213.270000000019</v>
      </c>
      <c r="T428" s="248">
        <v>-30852</v>
      </c>
      <c r="U428" s="248">
        <f t="shared" ref="U428" si="740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6"/>
        <v>5.651346110119778E-2</v>
      </c>
      <c r="Y428" s="807">
        <f t="shared" si="597"/>
        <v>-0.11156807143971478</v>
      </c>
    </row>
    <row r="429" spans="1:25" ht="20.100000000000001" customHeight="1" x14ac:dyDescent="0.25">
      <c r="A429" s="163">
        <f t="shared" si="357"/>
        <v>647</v>
      </c>
      <c r="B429" s="242">
        <v>42880</v>
      </c>
      <c r="C429" s="332">
        <v>2415.0700000000002</v>
      </c>
      <c r="D429" s="171">
        <f t="shared" ref="D429" si="741">(C429-C428)/C428</f>
        <v>4.4418750701842426E-3</v>
      </c>
      <c r="E429" s="244">
        <f t="shared" ref="E429" si="742">(C429-$C$2)/$C$2</f>
        <v>0.14869865489621586</v>
      </c>
      <c r="F429" s="245">
        <v>6205.25</v>
      </c>
      <c r="G429" s="171">
        <f t="shared" si="600"/>
        <v>6.8521601422678428E-3</v>
      </c>
      <c r="H429" s="246">
        <f t="shared" ref="H429" si="743">(F429-F$2)/F$2</f>
        <v>0.21869905925329461</v>
      </c>
      <c r="I429" s="553">
        <v>353000.67</v>
      </c>
      <c r="J429" s="248">
        <v>350000</v>
      </c>
      <c r="K429" s="248">
        <f t="shared" ref="K429" si="744">I429-I428-J429+J428</f>
        <v>-8217.1000000000349</v>
      </c>
      <c r="L429" s="171">
        <f t="shared" si="603"/>
        <v>-2.2748327137947933E-2</v>
      </c>
      <c r="M429" s="586">
        <f t="shared" ref="M429" si="745">I429-J429</f>
        <v>3000.6699999999837</v>
      </c>
      <c r="N429" s="250">
        <f t="shared" ref="N429" si="746">M429/J429</f>
        <v>8.573342857142811E-3</v>
      </c>
      <c r="O429" s="183">
        <f t="shared" si="418"/>
        <v>4.8398971848089825E-3</v>
      </c>
      <c r="P429" s="249" t="b">
        <f t="shared" ref="P429" si="747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8">I429-R429</f>
        <v>88102.469999999972</v>
      </c>
      <c r="T429" s="248">
        <v>-32794</v>
      </c>
      <c r="U429" s="248">
        <f t="shared" ref="U429" si="749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6"/>
        <v>1.5087903653219875E-2</v>
      </c>
      <c r="Y429" s="807">
        <f t="shared" si="597"/>
        <v>-0.14012531203907305</v>
      </c>
    </row>
    <row r="430" spans="1:25" ht="20.100000000000001" customHeight="1" x14ac:dyDescent="0.25">
      <c r="A430" s="163">
        <f t="shared" si="357"/>
        <v>648</v>
      </c>
      <c r="B430" s="242">
        <v>42881</v>
      </c>
      <c r="C430" s="332">
        <v>2415.8200000000002</v>
      </c>
      <c r="D430" s="171">
        <f t="shared" ref="D430:D441" si="750">(C430-C429)/C429</f>
        <v>3.105500047617667E-4</v>
      </c>
      <c r="E430" s="244">
        <f t="shared" ref="E430" si="751">(C430-$C$2)/$C$2</f>
        <v>0.14905538326896373</v>
      </c>
      <c r="F430" s="245">
        <v>6210.19</v>
      </c>
      <c r="G430" s="171">
        <f t="shared" si="600"/>
        <v>7.9610007654801977E-4</v>
      </c>
      <c r="H430" s="246">
        <f t="shared" ref="H430" si="752">(F430-F$2)/F$2</f>
        <v>0.21966926566765516</v>
      </c>
      <c r="I430" s="553">
        <v>353471.67</v>
      </c>
      <c r="J430" s="248">
        <v>350000</v>
      </c>
      <c r="K430" s="248">
        <f t="shared" ref="K430" si="753">I430-I429-J430+J429</f>
        <v>471</v>
      </c>
      <c r="L430" s="171">
        <f t="shared" si="603"/>
        <v>1.3342750879198049E-3</v>
      </c>
      <c r="M430" s="586">
        <f t="shared" ref="M430" si="754">I430-J430</f>
        <v>3471.6699999999837</v>
      </c>
      <c r="N430" s="250">
        <f t="shared" ref="N430" si="755">M430/J430</f>
        <v>9.9190571428570962E-3</v>
      </c>
      <c r="O430" s="183">
        <f t="shared" si="418"/>
        <v>5.5909500330687568E-3</v>
      </c>
      <c r="P430" s="249" t="b">
        <f t="shared" ref="P430" si="756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7">I430-R430</f>
        <v>88108.469999999972</v>
      </c>
      <c r="T430" s="248">
        <v>-33110</v>
      </c>
      <c r="U430" s="248">
        <f t="shared" ref="U430" si="758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6"/>
        <v>1.7449641035343473E-2</v>
      </c>
      <c r="Y430" s="807">
        <f t="shared" si="597"/>
        <v>-0.13913632612610663</v>
      </c>
    </row>
    <row r="431" spans="1:25" ht="20.100000000000001" customHeight="1" x14ac:dyDescent="0.25">
      <c r="A431" s="163">
        <f t="shared" si="357"/>
        <v>652</v>
      </c>
      <c r="B431" s="172">
        <v>42885</v>
      </c>
      <c r="C431" s="215">
        <v>2412.91</v>
      </c>
      <c r="D431" s="171">
        <f t="shared" si="750"/>
        <v>-1.204559942379941E-3</v>
      </c>
      <c r="E431" s="209">
        <f t="shared" ref="E431" si="759">(C431-$C$2)/$C$2</f>
        <v>0.1476712771827019</v>
      </c>
      <c r="F431" s="219">
        <v>6203.18</v>
      </c>
      <c r="G431" s="171">
        <f t="shared" si="600"/>
        <v>-1.1287899404042886E-3</v>
      </c>
      <c r="H431" s="203">
        <f t="shared" ref="H431" si="760">(F431-F$2)/F$2</f>
        <v>0.21829251526994922</v>
      </c>
      <c r="I431" s="221">
        <v>350229.07</v>
      </c>
      <c r="J431" s="173">
        <v>350000</v>
      </c>
      <c r="K431" s="173">
        <f t="shared" ref="K431" si="761">I431-I430-J431+J430</f>
        <v>-3242.5999999999767</v>
      </c>
      <c r="L431" s="171">
        <f t="shared" si="603"/>
        <v>-9.1735781823759077E-3</v>
      </c>
      <c r="M431" s="182">
        <f t="shared" ref="M431" si="762">I431-J431</f>
        <v>229.07000000000698</v>
      </c>
      <c r="N431" s="184">
        <f t="shared" ref="N431" si="763">M431/J431</f>
        <v>6.5448571428573419E-4</v>
      </c>
      <c r="O431" s="183">
        <f t="shared" si="418"/>
        <v>3.6664249561789024E-4</v>
      </c>
      <c r="P431" s="182" t="b">
        <f t="shared" ref="P431" si="764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65">I431-R431</f>
        <v>88108.47</v>
      </c>
      <c r="T431" s="173">
        <v>-35019</v>
      </c>
      <c r="U431" s="173">
        <f t="shared" ref="U431" si="766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6"/>
        <v>1.1453461069866381E-3</v>
      </c>
      <c r="Y431" s="807">
        <f t="shared" si="597"/>
        <v>-0.14701679146841617</v>
      </c>
    </row>
    <row r="432" spans="1:25" ht="20.100000000000001" customHeight="1" x14ac:dyDescent="0.25">
      <c r="A432" s="163">
        <f t="shared" si="357"/>
        <v>653</v>
      </c>
      <c r="B432" s="172">
        <v>42886</v>
      </c>
      <c r="C432" s="215">
        <v>2411.8000000000002</v>
      </c>
      <c r="D432" s="171">
        <f t="shared" si="750"/>
        <v>-4.6002544645248791E-4</v>
      </c>
      <c r="E432" s="209">
        <f t="shared" ref="E432" si="767">(C432-$C$2)/$C$2</f>
        <v>0.14714331919103524</v>
      </c>
      <c r="F432" s="219">
        <v>6198.51</v>
      </c>
      <c r="G432" s="171">
        <f t="shared" si="600"/>
        <v>-7.5283967255505607E-4</v>
      </c>
      <c r="H432" s="203">
        <f t="shared" ref="H432" si="768">(F432-F$2)/F$2</f>
        <v>0.21737533633167713</v>
      </c>
      <c r="I432" s="414">
        <v>349203.17</v>
      </c>
      <c r="J432" s="173">
        <v>350000</v>
      </c>
      <c r="K432" s="173">
        <f t="shared" ref="K432" si="769">I432-I431-J432+J431</f>
        <v>-1025.9000000000233</v>
      </c>
      <c r="L432" s="171">
        <f t="shared" si="603"/>
        <v>-2.9292257207547715E-3</v>
      </c>
      <c r="M432" s="414">
        <f t="shared" ref="M432" si="770">I432-J432</f>
        <v>-796.8300000000163</v>
      </c>
      <c r="N432" s="184">
        <f t="shared" ref="N432" si="771">M432/J432</f>
        <v>-2.2766571428571893E-3</v>
      </c>
      <c r="O432" s="183">
        <f t="shared" si="418"/>
        <v>-1.2734288230146836E-3</v>
      </c>
      <c r="P432" s="182" t="b">
        <f t="shared" ref="P432" si="772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73">I432-R432</f>
        <v>84038.07</v>
      </c>
      <c r="T432" s="173">
        <v>-35731</v>
      </c>
      <c r="U432" s="173">
        <f t="shared" ref="U432" si="774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6"/>
        <v>-3.9825524274986817E-3</v>
      </c>
      <c r="Y432" s="807">
        <f t="shared" si="597"/>
        <v>-0.14941997633389242</v>
      </c>
    </row>
    <row r="433" spans="1:25" ht="20.100000000000001" customHeight="1" x14ac:dyDescent="0.25">
      <c r="A433" s="163">
        <f t="shared" si="357"/>
        <v>654</v>
      </c>
      <c r="B433" s="172">
        <v>42887</v>
      </c>
      <c r="C433" s="215">
        <v>2430.06</v>
      </c>
      <c r="D433" s="171">
        <f t="shared" si="750"/>
        <v>7.5711087154821137E-3</v>
      </c>
      <c r="E433" s="209">
        <f t="shared" ref="E433" si="775">(C433-$C$2)/$C$2</f>
        <v>0.15582846597286956</v>
      </c>
      <c r="F433" s="219">
        <v>6246.83</v>
      </c>
      <c r="G433" s="171">
        <f t="shared" si="600"/>
        <v>7.7954218029816372E-3</v>
      </c>
      <c r="H433" s="203">
        <f t="shared" ref="H433" si="776">(F433-F$2)/F$2</f>
        <v>0.22686529057092919</v>
      </c>
      <c r="I433" s="221">
        <v>353722.21</v>
      </c>
      <c r="J433" s="173">
        <v>350000</v>
      </c>
      <c r="K433" s="173">
        <f t="shared" ref="K433" si="777">I433-I432-J433+J432</f>
        <v>4519.0400000000373</v>
      </c>
      <c r="L433" s="171">
        <f t="shared" si="603"/>
        <v>1.2941005088814163E-2</v>
      </c>
      <c r="M433" s="182">
        <f t="shared" ref="M433" si="778">I433-J433</f>
        <v>3722.210000000021</v>
      </c>
      <c r="N433" s="184">
        <f t="shared" ref="N433" si="779">M433/J433</f>
        <v>1.0634885714285775E-2</v>
      </c>
      <c r="O433" s="183">
        <f t="shared" si="418"/>
        <v>5.9394373197903354E-3</v>
      </c>
      <c r="P433" s="182" t="b">
        <f t="shared" ref="P433" si="780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81">I433-R433</f>
        <v>84175.31</v>
      </c>
      <c r="T433" s="173">
        <v>-33352</v>
      </c>
      <c r="U433" s="173">
        <f t="shared" ref="U433" si="782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6"/>
        <v>1.8588404187842304E-2</v>
      </c>
      <c r="Y433" s="807">
        <f t="shared" si="597"/>
        <v>-0.14519358025858378</v>
      </c>
    </row>
    <row r="434" spans="1:25" ht="20.100000000000001" customHeight="1" x14ac:dyDescent="0.25">
      <c r="A434" s="163">
        <f t="shared" si="357"/>
        <v>655</v>
      </c>
      <c r="B434" s="172">
        <v>42888</v>
      </c>
      <c r="C434" s="215">
        <v>2439.0700000000002</v>
      </c>
      <c r="D434" s="171">
        <f t="shared" si="750"/>
        <v>3.7077273812170146E-3</v>
      </c>
      <c r="E434" s="209">
        <f t="shared" ref="E434" si="783">(C434-$C$2)/$C$2</f>
        <v>0.16011396282414722</v>
      </c>
      <c r="F434" s="219">
        <v>6305.79</v>
      </c>
      <c r="G434" s="171">
        <f t="shared" si="600"/>
        <v>9.4383871499624673E-3</v>
      </c>
      <c r="H434" s="203">
        <f t="shared" ref="H434" si="784">(F434-F$2)/F$2</f>
        <v>0.23844492016418881</v>
      </c>
      <c r="I434" s="221">
        <v>351458.31</v>
      </c>
      <c r="J434" s="173">
        <v>350000</v>
      </c>
      <c r="K434" s="173">
        <f t="shared" ref="K434" si="785">I434-I433-J434+J433</f>
        <v>-2263.9000000000233</v>
      </c>
      <c r="L434" s="171">
        <f t="shared" si="603"/>
        <v>-6.4002201049236434E-3</v>
      </c>
      <c r="M434" s="182">
        <f t="shared" ref="M434" si="786">I434-J434</f>
        <v>1458.3099999999977</v>
      </c>
      <c r="N434" s="184">
        <f t="shared" ref="N434" si="787">M434/J434</f>
        <v>4.1665999999999934E-3</v>
      </c>
      <c r="O434" s="183">
        <f t="shared" si="418"/>
        <v>2.3234361068702252E-3</v>
      </c>
      <c r="P434" s="182" t="b">
        <f t="shared" ref="P434" si="788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9">I434-R434</f>
        <v>69130.909999999974</v>
      </c>
      <c r="T434" s="173">
        <v>-36002</v>
      </c>
      <c r="U434" s="173">
        <f t="shared" ref="U434" si="790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6"/>
        <v>7.2790368057027996E-3</v>
      </c>
      <c r="Y434" s="807">
        <f t="shared" si="597"/>
        <v>-0.15594736282414723</v>
      </c>
    </row>
    <row r="435" spans="1:25" ht="20.100000000000001" customHeight="1" x14ac:dyDescent="0.25">
      <c r="A435" s="163">
        <f t="shared" si="357"/>
        <v>658</v>
      </c>
      <c r="B435" s="242">
        <v>42891</v>
      </c>
      <c r="C435" s="332">
        <v>2436.1</v>
      </c>
      <c r="D435" s="171">
        <f t="shared" si="750"/>
        <v>-1.217677229435914E-3</v>
      </c>
      <c r="E435" s="244">
        <f t="shared" ref="E435" si="791">(C435-$C$2)/$C$2</f>
        <v>0.15870131846806559</v>
      </c>
      <c r="F435" s="245">
        <v>6295.68</v>
      </c>
      <c r="G435" s="171">
        <f t="shared" si="600"/>
        <v>-1.6032884063693325E-3</v>
      </c>
      <c r="H435" s="246">
        <f t="shared" ref="H435" si="792">(F435-F$2)/F$2</f>
        <v>0.23645933578176256</v>
      </c>
      <c r="I435" s="553">
        <v>351519.71</v>
      </c>
      <c r="J435" s="248">
        <v>350000</v>
      </c>
      <c r="K435" s="248">
        <f t="shared" ref="K435" si="793">I435-I434-J435+J434</f>
        <v>61.400000000023283</v>
      </c>
      <c r="L435" s="171">
        <f t="shared" si="603"/>
        <v>1.7470066364350093E-4</v>
      </c>
      <c r="M435" s="586">
        <f t="shared" ref="M435" si="794">I435-J435</f>
        <v>1519.710000000021</v>
      </c>
      <c r="N435" s="250">
        <f t="shared" ref="N435" si="795">M435/J435</f>
        <v>4.3420285714286314E-3</v>
      </c>
      <c r="O435" s="183">
        <f t="shared" si="418"/>
        <v>2.4102217867998598E-3</v>
      </c>
      <c r="P435" s="249" t="b">
        <f t="shared" ref="P435" si="796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7">I435-R435</f>
        <v>69130.910000000033</v>
      </c>
      <c r="T435" s="248">
        <v>-35772</v>
      </c>
      <c r="U435" s="248">
        <f t="shared" ref="U435" si="798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6"/>
        <v>7.5596790085981523E-3</v>
      </c>
      <c r="Y435" s="807">
        <f t="shared" si="597"/>
        <v>-0.15435928989663697</v>
      </c>
    </row>
    <row r="436" spans="1:25" ht="20.100000000000001" customHeight="1" x14ac:dyDescent="0.25">
      <c r="A436" s="163">
        <f t="shared" si="357"/>
        <v>659</v>
      </c>
      <c r="B436" s="242">
        <v>42892</v>
      </c>
      <c r="C436" s="332">
        <v>2429.33</v>
      </c>
      <c r="D436" s="171">
        <f t="shared" si="750"/>
        <v>-2.7790320594392602E-3</v>
      </c>
      <c r="E436" s="244">
        <f t="shared" ref="E436" si="799">(C436-$C$2)/$C$2</f>
        <v>0.1554812503567283</v>
      </c>
      <c r="F436" s="245">
        <v>6275.02</v>
      </c>
      <c r="G436" s="171">
        <f t="shared" si="600"/>
        <v>-3.2816153298769715E-3</v>
      </c>
      <c r="H436" s="246">
        <f t="shared" ref="H436" si="800">(F436-F$2)/F$2</f>
        <v>0.23240175187069165</v>
      </c>
      <c r="I436" s="553">
        <v>351863.31</v>
      </c>
      <c r="J436" s="248">
        <v>350000</v>
      </c>
      <c r="K436" s="248">
        <f t="shared" ref="K436" si="801">I436-I435-J436+J435</f>
        <v>343.59999999997672</v>
      </c>
      <c r="L436" s="171">
        <f t="shared" si="603"/>
        <v>9.7747008268747344E-4</v>
      </c>
      <c r="M436" s="586">
        <f t="shared" ref="M436" si="802">I436-J436</f>
        <v>1863.3099999999977</v>
      </c>
      <c r="N436" s="250">
        <f t="shared" ref="N436" si="803">M436/J436</f>
        <v>5.3237428571428509E-3</v>
      </c>
      <c r="O436" s="183">
        <f t="shared" si="418"/>
        <v>2.9506784196834997E-3</v>
      </c>
      <c r="P436" s="249" t="b">
        <f t="shared" ref="P436" si="804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805">I436-R436</f>
        <v>65808.909999999974</v>
      </c>
      <c r="T436" s="248">
        <v>-34862</v>
      </c>
      <c r="U436" s="248">
        <f t="shared" ref="U436" si="806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6"/>
        <v>9.2655223761011294E-3</v>
      </c>
      <c r="Y436" s="807">
        <f t="shared" si="597"/>
        <v>-0.15015750749958545</v>
      </c>
    </row>
    <row r="437" spans="1:25" ht="20.100000000000001" customHeight="1" x14ac:dyDescent="0.25">
      <c r="A437" s="163">
        <f t="shared" si="357"/>
        <v>660</v>
      </c>
      <c r="B437" s="242">
        <v>42893</v>
      </c>
      <c r="C437" s="332">
        <v>2433.14</v>
      </c>
      <c r="D437" s="171">
        <f t="shared" si="750"/>
        <v>1.5683336557816129E-3</v>
      </c>
      <c r="E437" s="244">
        <f t="shared" ref="E437" si="807">(C437-$C$2)/$C$2</f>
        <v>0.15729343049028738</v>
      </c>
      <c r="F437" s="245">
        <v>6297.38</v>
      </c>
      <c r="G437" s="171">
        <f t="shared" si="600"/>
        <v>3.5633352563019197E-3</v>
      </c>
      <c r="H437" s="246">
        <f t="shared" ref="H437" si="808">(F437-F$2)/F$2</f>
        <v>0.23679321248306073</v>
      </c>
      <c r="I437" s="553">
        <v>346982.81</v>
      </c>
      <c r="J437" s="248">
        <v>350000</v>
      </c>
      <c r="K437" s="248">
        <f t="shared" ref="K437" si="809">I437-I436-J437+J436</f>
        <v>-4880.5</v>
      </c>
      <c r="L437" s="171">
        <f t="shared" si="603"/>
        <v>-1.3870443042214319E-2</v>
      </c>
      <c r="M437" s="586">
        <f t="shared" ref="M437" si="810">I437-J437</f>
        <v>-3017.1900000000023</v>
      </c>
      <c r="N437" s="250">
        <f t="shared" ref="N437" si="811">M437/J437</f>
        <v>-8.6205428571428638E-3</v>
      </c>
      <c r="O437" s="183">
        <f t="shared" si="418"/>
        <v>-4.7706867857142893E-3</v>
      </c>
      <c r="P437" s="249" t="b">
        <f t="shared" ref="P437" si="812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13">I437-R437</f>
        <v>65808.909999999974</v>
      </c>
      <c r="T437" s="248">
        <v>-40512</v>
      </c>
      <c r="U437" s="248">
        <f t="shared" ref="U437" si="814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6"/>
        <v>-1.4989123442539961E-2</v>
      </c>
      <c r="Y437" s="807">
        <f t="shared" si="597"/>
        <v>-0.16591397334743024</v>
      </c>
    </row>
    <row r="438" spans="1:25" ht="20.100000000000001" customHeight="1" x14ac:dyDescent="0.25">
      <c r="A438" s="163">
        <f t="shared" si="357"/>
        <v>661</v>
      </c>
      <c r="B438" s="242">
        <v>42894</v>
      </c>
      <c r="C438" s="332">
        <v>2433.79</v>
      </c>
      <c r="D438" s="171">
        <f t="shared" si="750"/>
        <v>2.6714451285174342E-4</v>
      </c>
      <c r="E438" s="244">
        <f t="shared" ref="E438" si="815">(C438-$C$2)/$C$2</f>
        <v>0.15760259508000224</v>
      </c>
      <c r="F438" s="245">
        <v>6321.76</v>
      </c>
      <c r="G438" s="171">
        <f t="shared" si="600"/>
        <v>3.8714513019700429E-3</v>
      </c>
      <c r="H438" s="246">
        <f t="shared" ref="H438" si="816">(F438-F$2)/F$2</f>
        <v>0.24158139717579599</v>
      </c>
      <c r="I438" s="553">
        <v>347153.55</v>
      </c>
      <c r="J438" s="248">
        <v>350000</v>
      </c>
      <c r="K438" s="248">
        <f t="shared" ref="K438" si="817">I438-I437-J438+J437</f>
        <v>170.73999999999069</v>
      </c>
      <c r="L438" s="171">
        <f t="shared" si="603"/>
        <v>4.9207048614307637E-4</v>
      </c>
      <c r="M438" s="586">
        <f t="shared" ref="M438" si="818">I438-J438</f>
        <v>-2846.4500000000116</v>
      </c>
      <c r="N438" s="250">
        <f t="shared" ref="N438" si="819">M438/J438</f>
        <v>-8.1327142857143195E-3</v>
      </c>
      <c r="O438" s="183">
        <f t="shared" si="418"/>
        <v>-4.4939090663497052E-3</v>
      </c>
      <c r="P438" s="249" t="b">
        <f t="shared" ref="P438" si="820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21">I438-R438</f>
        <v>68658.849999999977</v>
      </c>
      <c r="T438" s="248">
        <v>-41692</v>
      </c>
      <c r="U438" s="248">
        <f t="shared" ref="U438" si="822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6"/>
        <v>-1.4135766451076353E-2</v>
      </c>
      <c r="Y438" s="807">
        <f t="shared" si="597"/>
        <v>-0.16573530936571657</v>
      </c>
    </row>
    <row r="439" spans="1:25" ht="20.100000000000001" customHeight="1" x14ac:dyDescent="0.25">
      <c r="A439" s="163">
        <f t="shared" si="357"/>
        <v>662</v>
      </c>
      <c r="B439" s="242">
        <v>42895</v>
      </c>
      <c r="C439" s="332">
        <v>2431.77</v>
      </c>
      <c r="D439" s="171">
        <f t="shared" si="750"/>
        <v>-8.2998122270203339E-4</v>
      </c>
      <c r="E439" s="244">
        <f t="shared" ref="E439" si="823">(C439-$C$2)/$C$2</f>
        <v>0.15664180666273469</v>
      </c>
      <c r="F439" s="245">
        <v>6207.91</v>
      </c>
      <c r="G439" s="171">
        <f t="shared" si="600"/>
        <v>-1.8009225279036273E-2</v>
      </c>
      <c r="H439" s="246">
        <f t="shared" ref="H439" si="824">(F439-F$2)/F$2</f>
        <v>0.21922147809179646</v>
      </c>
      <c r="I439" s="553">
        <v>354123.05</v>
      </c>
      <c r="J439" s="248">
        <v>350000</v>
      </c>
      <c r="K439" s="248">
        <f t="shared" ref="K439" si="825">I439-I438-J439+J438</f>
        <v>6969.5</v>
      </c>
      <c r="L439" s="171">
        <f t="shared" si="603"/>
        <v>2.0076130576800959E-2</v>
      </c>
      <c r="M439" s="586">
        <f t="shared" ref="M439" si="826">I439-J439</f>
        <v>4123.0499999999884</v>
      </c>
      <c r="N439" s="250">
        <f t="shared" ref="N439" si="827">M439/J439</f>
        <v>1.1780142857142824E-2</v>
      </c>
      <c r="O439" s="183">
        <f t="shared" si="418"/>
        <v>6.4995425658178497E-3</v>
      </c>
      <c r="P439" s="249" t="b">
        <f t="shared" ref="P439" si="828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9">I439-R439</f>
        <v>68658.849999999977</v>
      </c>
      <c r="T439" s="248">
        <v>-37482</v>
      </c>
      <c r="U439" s="248">
        <f t="shared" ref="U439" si="830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6"/>
        <v>2.0445392376987268E-2</v>
      </c>
      <c r="Y439" s="807">
        <f t="shared" si="597"/>
        <v>-0.14486166380559187</v>
      </c>
    </row>
    <row r="440" spans="1:25" ht="20.100000000000001" customHeight="1" x14ac:dyDescent="0.25">
      <c r="A440" s="163">
        <f t="shared" si="357"/>
        <v>665</v>
      </c>
      <c r="B440" s="172">
        <v>42898</v>
      </c>
      <c r="C440" s="215">
        <v>2429.39</v>
      </c>
      <c r="D440" s="171">
        <f t="shared" si="750"/>
        <v>-9.7871098006806125E-4</v>
      </c>
      <c r="E440" s="209">
        <f t="shared" ref="E440" si="831">(C440-$C$2)/$C$2</f>
        <v>0.1555097886265481</v>
      </c>
      <c r="F440" s="219">
        <v>6208.91</v>
      </c>
      <c r="G440" s="171">
        <f t="shared" si="600"/>
        <v>1.6108480954137545E-4</v>
      </c>
      <c r="H440" s="203">
        <f t="shared" ref="H440" si="832">(F440-F$2)/F$2</f>
        <v>0.21941787615138364</v>
      </c>
      <c r="I440" s="221">
        <v>354932.43</v>
      </c>
      <c r="J440" s="173">
        <v>350000</v>
      </c>
      <c r="K440" s="173">
        <f t="shared" ref="K440" si="833">I440-I439-J440+J439</f>
        <v>809.38000000000466</v>
      </c>
      <c r="L440" s="171">
        <f t="shared" si="603"/>
        <v>2.2855897123895343E-3</v>
      </c>
      <c r="M440" s="182">
        <f t="shared" ref="M440" si="834">I440-J440</f>
        <v>4932.429999999993</v>
      </c>
      <c r="N440" s="184">
        <f t="shared" ref="N440" si="835">M440/J440</f>
        <v>1.4092657142857123E-2</v>
      </c>
      <c r="O440" s="183">
        <f t="shared" si="418"/>
        <v>7.7403654457572401E-3</v>
      </c>
      <c r="P440" s="182" t="b">
        <f t="shared" ref="P440" si="836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7">I440-R440</f>
        <v>76262.679999999993</v>
      </c>
      <c r="T440" s="173">
        <v>-36662</v>
      </c>
      <c r="U440" s="173">
        <f t="shared" ref="U440" si="838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6"/>
        <v>2.43762740845248E-2</v>
      </c>
      <c r="Y440" s="807">
        <f t="shared" si="597"/>
        <v>-0.14141713148369098</v>
      </c>
    </row>
    <row r="441" spans="1:25" ht="20.100000000000001" customHeight="1" x14ac:dyDescent="0.25">
      <c r="A441" s="163">
        <f t="shared" si="357"/>
        <v>666</v>
      </c>
      <c r="B441" s="172">
        <v>42899</v>
      </c>
      <c r="C441" s="215">
        <v>2440.35</v>
      </c>
      <c r="D441" s="171">
        <f t="shared" si="750"/>
        <v>4.5114205623634071E-3</v>
      </c>
      <c r="E441" s="209">
        <f t="shared" ref="E441" si="839">(C441-$C$2)/$C$2</f>
        <v>0.16072277924697012</v>
      </c>
      <c r="F441" s="219">
        <v>6220.36</v>
      </c>
      <c r="G441" s="171">
        <f t="shared" si="600"/>
        <v>1.8441240088839777E-3</v>
      </c>
      <c r="H441" s="203">
        <f t="shared" ref="H441" si="840">(F441-F$2)/F$2</f>
        <v>0.22166663393365671</v>
      </c>
      <c r="I441" s="221">
        <v>359514.03</v>
      </c>
      <c r="J441" s="173">
        <v>350000</v>
      </c>
      <c r="K441" s="173">
        <f t="shared" ref="K441" si="841">I441-I440-J441+J440</f>
        <v>4581.6000000000349</v>
      </c>
      <c r="L441" s="171">
        <f t="shared" si="603"/>
        <v>1.29083724471163E-2</v>
      </c>
      <c r="M441" s="182">
        <f t="shared" ref="M441" si="842">I441-J441</f>
        <v>9514.0300000000279</v>
      </c>
      <c r="N441" s="184">
        <f t="shared" ref="N441" si="843">M441/J441</f>
        <v>2.7182942857142938E-2</v>
      </c>
      <c r="O441" s="183">
        <f t="shared" si="418"/>
        <v>1.4907762580437625E-2</v>
      </c>
      <c r="P441" s="182" t="b">
        <f t="shared" ref="P441" si="844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45">I441-R441</f>
        <v>76630.680000000051</v>
      </c>
      <c r="T441" s="173">
        <v>-33012</v>
      </c>
      <c r="U441" s="173">
        <f t="shared" ref="U441" si="846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6"/>
        <v>4.6980961972746108E-2</v>
      </c>
      <c r="Y441" s="807">
        <f t="shared" si="597"/>
        <v>-0.13353983638982719</v>
      </c>
    </row>
    <row r="442" spans="1:25" ht="20.100000000000001" customHeight="1" x14ac:dyDescent="0.25">
      <c r="A442" s="163">
        <f t="shared" si="357"/>
        <v>667</v>
      </c>
      <c r="B442" s="172">
        <v>42900</v>
      </c>
      <c r="C442" s="215">
        <v>2437.92</v>
      </c>
      <c r="D442" s="171">
        <f t="shared" ref="D442" si="847">(C442-C441)/C441</f>
        <v>-9.9575880508936693E-4</v>
      </c>
      <c r="E442" s="209">
        <f t="shared" ref="E442" si="848">(C442-$C$2)/$C$2</f>
        <v>0.15956697931926714</v>
      </c>
      <c r="F442" s="219">
        <v>6194.89</v>
      </c>
      <c r="G442" s="171">
        <f t="shared" ref="G442" si="849">(F442-F441)/F441</f>
        <v>-4.0946183179107554E-3</v>
      </c>
      <c r="H442" s="203">
        <f t="shared" ref="H442" si="850">(F442-F$2)/F$2</f>
        <v>0.21666437535597158</v>
      </c>
      <c r="I442" s="221">
        <v>355660.79999999999</v>
      </c>
      <c r="J442" s="173">
        <v>350000</v>
      </c>
      <c r="K442" s="173">
        <f t="shared" ref="K442" si="851">I442-I441-J442+J441</f>
        <v>-3853.2300000000396</v>
      </c>
      <c r="L442" s="171">
        <f t="shared" ref="L442" si="852">K442/I441</f>
        <v>-1.0717884918149201E-2</v>
      </c>
      <c r="M442" s="182">
        <f t="shared" ref="M442" si="853">I442-J442</f>
        <v>5660.7999999999884</v>
      </c>
      <c r="N442" s="184">
        <f t="shared" ref="N442" si="854">M442/J442</f>
        <v>1.6173714285714253E-2</v>
      </c>
      <c r="O442" s="183">
        <f t="shared" si="418"/>
        <v>8.8567453416148901E-3</v>
      </c>
      <c r="P442" s="182" t="b">
        <f t="shared" ref="P442" si="855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56">I442-R442</f>
        <v>72064.549999999988</v>
      </c>
      <c r="T442" s="173">
        <v>-36382</v>
      </c>
      <c r="U442" s="173">
        <f t="shared" ref="U442" si="857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6"/>
        <v>2.7933421746418215E-2</v>
      </c>
      <c r="Y442" s="807">
        <f t="shared" si="597"/>
        <v>-0.14339326503355287</v>
      </c>
    </row>
    <row r="443" spans="1:25" ht="20.100000000000001" customHeight="1" x14ac:dyDescent="0.25">
      <c r="A443" s="163">
        <f t="shared" si="357"/>
        <v>668</v>
      </c>
      <c r="B443" s="172">
        <v>42901</v>
      </c>
      <c r="C443" s="215">
        <v>2432.46</v>
      </c>
      <c r="D443" s="171">
        <f t="shared" ref="D443" si="858">(C443-C442)/C442</f>
        <v>-2.2396140972632556E-3</v>
      </c>
      <c r="E443" s="209">
        <f t="shared" ref="E443" si="859">(C443-$C$2)/$C$2</f>
        <v>0.15696999676566273</v>
      </c>
      <c r="F443" s="219">
        <v>6165.5</v>
      </c>
      <c r="G443" s="171">
        <f t="shared" ref="G443" si="860">(F443-F442)/F442</f>
        <v>-4.7442327466670634E-3</v>
      </c>
      <c r="H443" s="203">
        <f t="shared" ref="H443" si="861">(F443-F$2)/F$2</f>
        <v>0.21089223638470456</v>
      </c>
      <c r="I443" s="221">
        <v>343648.95</v>
      </c>
      <c r="J443" s="173">
        <v>350000</v>
      </c>
      <c r="K443" s="173">
        <f t="shared" ref="K443" si="862">I443-I442-J443+J442</f>
        <v>-12011.849999999977</v>
      </c>
      <c r="L443" s="171">
        <f t="shared" ref="L443" si="863">K443/I442</f>
        <v>-3.3773331218959125E-2</v>
      </c>
      <c r="M443" s="182">
        <f t="shared" ref="M443" si="864">I443-J443</f>
        <v>-6351.0499999999884</v>
      </c>
      <c r="N443" s="184">
        <f t="shared" ref="N443" si="865">M443/J443</f>
        <v>-1.8145857142857109E-2</v>
      </c>
      <c r="O443" s="183">
        <f t="shared" si="418"/>
        <v>-9.9218178464499391E-3</v>
      </c>
      <c r="P443" s="182" t="b">
        <f t="shared" ref="P443" si="866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7">I443-R443</f>
        <v>66994.5</v>
      </c>
      <c r="T443" s="173">
        <v>-42389</v>
      </c>
      <c r="U443" s="173">
        <f t="shared" ref="U443" si="868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6"/>
        <v>-3.1224275300202758E-2</v>
      </c>
      <c r="Y443" s="807">
        <f t="shared" si="597"/>
        <v>-0.17511585390851983</v>
      </c>
    </row>
    <row r="444" spans="1:25" ht="20.100000000000001" customHeight="1" x14ac:dyDescent="0.25">
      <c r="A444" s="163">
        <f t="shared" si="357"/>
        <v>669</v>
      </c>
      <c r="B444" s="172">
        <v>42902</v>
      </c>
      <c r="C444" s="215">
        <v>2433.46</v>
      </c>
      <c r="D444" s="171">
        <f t="shared" ref="D444" si="869">(C444-C443)/C443</f>
        <v>4.1110645190465617E-4</v>
      </c>
      <c r="E444" s="209">
        <f t="shared" ref="E444" si="870">(C444-$C$2)/$C$2</f>
        <v>0.15744563459599323</v>
      </c>
      <c r="F444" s="219">
        <v>6166.5</v>
      </c>
      <c r="G444" s="171">
        <f t="shared" ref="G444" si="871">(F444-F443)/F443</f>
        <v>1.6219284729543428E-4</v>
      </c>
      <c r="H444" s="203">
        <f t="shared" ref="H444" si="872">(F444-F$2)/F$2</f>
        <v>0.21108863444429174</v>
      </c>
      <c r="I444" s="221">
        <v>340685.9</v>
      </c>
      <c r="J444" s="173">
        <v>350000</v>
      </c>
      <c r="K444" s="173">
        <f t="shared" ref="K444" si="873">I444-I443-J444+J443</f>
        <v>-2963.0499999999884</v>
      </c>
      <c r="L444" s="171">
        <f t="shared" ref="L444" si="874">K444/I443</f>
        <v>-8.6223164656839147E-3</v>
      </c>
      <c r="M444" s="182">
        <f t="shared" ref="M444" si="875">I444-J444</f>
        <v>-9314.0999999999767</v>
      </c>
      <c r="N444" s="184">
        <f t="shared" ref="N444" si="876">M444/J444</f>
        <v>-2.6611714285714218E-2</v>
      </c>
      <c r="O444" s="183">
        <f t="shared" si="418"/>
        <v>-1.4529041319666843E-2</v>
      </c>
      <c r="P444" s="182" t="b">
        <f t="shared" ref="P444" si="877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8">I444-R444</f>
        <v>60314.5</v>
      </c>
      <c r="T444" s="173">
        <v>-45235</v>
      </c>
      <c r="U444" s="173">
        <f t="shared" ref="U444" si="879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6"/>
        <v>-4.5764839163012216E-2</v>
      </c>
      <c r="Y444" s="807">
        <f t="shared" si="597"/>
        <v>-0.18405734888170744</v>
      </c>
    </row>
    <row r="445" spans="1:25" ht="20.100000000000001" customHeight="1" x14ac:dyDescent="0.25">
      <c r="A445" s="163">
        <f t="shared" si="357"/>
        <v>670</v>
      </c>
      <c r="B445" s="172">
        <v>42903</v>
      </c>
      <c r="C445" s="215">
        <v>2453.46</v>
      </c>
      <c r="D445" s="171">
        <f t="shared" ref="D445" si="880">(C445-C444)/C444</f>
        <v>8.2187502568359452E-3</v>
      </c>
      <c r="E445" s="209">
        <f t="shared" ref="E445" si="881">(C445-$C$2)/$C$2</f>
        <v>0.16695839120260267</v>
      </c>
      <c r="F445" s="219">
        <v>6239.01</v>
      </c>
      <c r="G445" s="171">
        <f t="shared" ref="G445" si="882">(F445-F444)/F444</f>
        <v>1.17586961809779E-2</v>
      </c>
      <c r="H445" s="203">
        <f t="shared" ref="H445" si="883">(F445-F$2)/F$2</f>
        <v>0.22532945774495758</v>
      </c>
      <c r="I445" s="221">
        <v>342070.2</v>
      </c>
      <c r="J445" s="173">
        <v>350000</v>
      </c>
      <c r="K445" s="173">
        <f t="shared" ref="K445" si="884">I445-I444-J445+J444</f>
        <v>1384.2999999999884</v>
      </c>
      <c r="L445" s="171">
        <f t="shared" ref="L445" si="885">K445/I444</f>
        <v>4.0632735314258331E-3</v>
      </c>
      <c r="M445" s="182">
        <f t="shared" ref="M445" si="886">I445-J445</f>
        <v>-7929.7999999999884</v>
      </c>
      <c r="N445" s="184">
        <f t="shared" ref="N445" si="887">M445/J445</f>
        <v>-2.2656571428571394E-2</v>
      </c>
      <c r="O445" s="183">
        <f t="shared" si="418"/>
        <v>-1.2351213006396569E-2</v>
      </c>
      <c r="P445" s="182" t="b">
        <f t="shared" ref="P445" si="888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9">I445-R445</f>
        <v>60314.5</v>
      </c>
      <c r="T445" s="173">
        <v>-44677</v>
      </c>
      <c r="U445" s="173">
        <f t="shared" ref="U445" si="890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6"/>
        <v>-3.8947482202352612E-2</v>
      </c>
      <c r="Y445" s="807">
        <f t="shared" si="597"/>
        <v>-0.18961496263117406</v>
      </c>
    </row>
    <row r="446" spans="1:25" ht="20.100000000000001" customHeight="1" x14ac:dyDescent="0.25">
      <c r="A446" s="163">
        <f t="shared" si="357"/>
        <v>684</v>
      </c>
      <c r="B446" s="172">
        <v>42917</v>
      </c>
      <c r="C446" s="215">
        <v>2423.41</v>
      </c>
      <c r="D446" s="171">
        <f t="shared" ref="D446" si="891">(C446-C445)/C445</f>
        <v>-1.2248008934321399E-2</v>
      </c>
      <c r="E446" s="209">
        <f t="shared" ref="E446" si="892">(C446-$C$2)/$C$2</f>
        <v>0.15266547440117187</v>
      </c>
      <c r="F446" s="219">
        <v>6140.42</v>
      </c>
      <c r="G446" s="171">
        <f t="shared" ref="G446" si="893">(F446-F445)/F445</f>
        <v>-1.5802186564855665E-2</v>
      </c>
      <c r="H446" s="203">
        <f t="shared" ref="H446" si="894">(F446-F$2)/F$2</f>
        <v>0.20596657305025831</v>
      </c>
      <c r="I446" s="414">
        <v>340097.61</v>
      </c>
      <c r="J446" s="173">
        <v>350000</v>
      </c>
      <c r="K446" s="173">
        <f t="shared" ref="K446" si="895">I446-I445-J446+J445</f>
        <v>-1972.5900000000256</v>
      </c>
      <c r="L446" s="171">
        <f t="shared" ref="L446" si="896">K446/I445</f>
        <v>-5.7666233422263196E-3</v>
      </c>
      <c r="M446" s="414">
        <f t="shared" ref="M446" si="897">I446-J446</f>
        <v>-9902.390000000014</v>
      </c>
      <c r="N446" s="184">
        <f t="shared" ref="N446" si="898">M446/J446</f>
        <v>-2.8292542857142899E-2</v>
      </c>
      <c r="O446" s="183">
        <f t="shared" si="418"/>
        <v>-1.5107969705513806E-2</v>
      </c>
      <c r="P446" s="182" t="b">
        <f t="shared" ref="P446" si="899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900">I446-R446</f>
        <v>74427.859999999986</v>
      </c>
      <c r="T446" s="173">
        <v>-48327</v>
      </c>
      <c r="U446" s="173">
        <f t="shared" ref="U446:U457" si="901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6"/>
        <v>-4.7689274365444727E-2</v>
      </c>
      <c r="Y446" s="807">
        <f t="shared" si="597"/>
        <v>-0.18095801725831476</v>
      </c>
    </row>
    <row r="447" spans="1:25" ht="20.100000000000001" customHeight="1" x14ac:dyDescent="0.25">
      <c r="A447" s="163">
        <f t="shared" si="357"/>
        <v>699</v>
      </c>
      <c r="B447" s="172">
        <v>42932</v>
      </c>
      <c r="C447" s="215">
        <v>2459.27</v>
      </c>
      <c r="D447" s="171">
        <f t="shared" ref="D447" si="902">(C447-C446)/C446</f>
        <v>1.4797331033543696E-2</v>
      </c>
      <c r="E447" s="209">
        <f t="shared" ref="E447" si="903">(C447-$C$2)/$C$2</f>
        <v>0.16972184699682269</v>
      </c>
      <c r="F447" s="219">
        <v>6312.46</v>
      </c>
      <c r="G447" s="171">
        <f t="shared" ref="G447" si="904">(F447-F446)/F446</f>
        <v>2.801762745870803E-2</v>
      </c>
      <c r="H447" s="203">
        <f t="shared" ref="H447" si="905">(F447-F$2)/F$2</f>
        <v>0.23975489522163526</v>
      </c>
      <c r="I447" s="221">
        <v>337505.3</v>
      </c>
      <c r="J447" s="173">
        <v>350000</v>
      </c>
      <c r="K447" s="173">
        <f t="shared" ref="K447" si="906">I447-I446-J447+J446</f>
        <v>-2592.3099999999977</v>
      </c>
      <c r="L447" s="171">
        <f t="shared" ref="L447" si="907">K447/I446</f>
        <v>-7.6222529173315791E-3</v>
      </c>
      <c r="M447" s="182">
        <f t="shared" ref="M447" si="908">I447-J447</f>
        <v>-12494.700000000012</v>
      </c>
      <c r="N447" s="184">
        <f t="shared" ref="N447" si="909">M447/J447</f>
        <v>-3.5699142857142888E-2</v>
      </c>
      <c r="O447" s="183">
        <f t="shared" si="418"/>
        <v>-1.8653951256897627E-2</v>
      </c>
      <c r="P447" s="182" t="b">
        <f t="shared" ref="P447" si="910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11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6"/>
        <v>-5.8938268385742225E-2</v>
      </c>
      <c r="Y447" s="807">
        <f t="shared" si="597"/>
        <v>-0.20542098985396556</v>
      </c>
    </row>
    <row r="448" spans="1:25" ht="20.100000000000001" customHeight="1" x14ac:dyDescent="0.25">
      <c r="A448" s="163">
        <f t="shared" si="357"/>
        <v>702</v>
      </c>
      <c r="B448" s="172">
        <v>42935</v>
      </c>
      <c r="C448" s="215">
        <v>2473.83</v>
      </c>
      <c r="D448" s="171">
        <f t="shared" ref="D448" si="912">(C448-C447)/C447</f>
        <v>5.9204560702972612E-3</v>
      </c>
      <c r="E448" s="209">
        <f t="shared" ref="E448" si="913">(C448-$C$2)/$C$2</f>
        <v>0.17664713380643438</v>
      </c>
      <c r="F448" s="219">
        <v>6385.04</v>
      </c>
      <c r="G448" s="171">
        <f t="shared" ref="G448" si="914">(F448-F447)/F447</f>
        <v>1.1497894640124441E-2</v>
      </c>
      <c r="H448" s="203">
        <f t="shared" ref="H448" si="915">(F448-F$2)/F$2</f>
        <v>0.25400946638647215</v>
      </c>
      <c r="I448" s="221">
        <v>343410.37</v>
      </c>
      <c r="J448" s="173">
        <v>350000</v>
      </c>
      <c r="K448" s="173">
        <f t="shared" ref="K448" si="916">I448-I447-J448+J447</f>
        <v>5905.070000000007</v>
      </c>
      <c r="L448" s="171">
        <f t="shared" ref="L448" si="917">K448/I447</f>
        <v>1.7496228948108393E-2</v>
      </c>
      <c r="M448" s="182">
        <f t="shared" ref="M448" si="918">I448-J448</f>
        <v>-6589.6300000000047</v>
      </c>
      <c r="N448" s="184">
        <f t="shared" ref="N448" si="919">M448/J448</f>
        <v>-1.8827514285714299E-2</v>
      </c>
      <c r="O448" s="183">
        <f t="shared" si="418"/>
        <v>-9.7959395909645985E-3</v>
      </c>
      <c r="P448" s="182" t="b">
        <f t="shared" ref="P448" si="920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21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6"/>
        <v>-3.0959866028433092E-2</v>
      </c>
      <c r="Y448" s="807">
        <f t="shared" si="597"/>
        <v>-0.19547464809214868</v>
      </c>
    </row>
    <row r="449" spans="1:25" ht="20.100000000000001" customHeight="1" x14ac:dyDescent="0.25">
      <c r="A449" s="163">
        <f t="shared" ref="A449:A512" si="922">B449-$B$2</f>
        <v>706</v>
      </c>
      <c r="B449" s="172">
        <v>42939</v>
      </c>
      <c r="C449" s="215">
        <v>2472.54</v>
      </c>
      <c r="D449" s="171">
        <f t="shared" ref="D449" si="923">(C449-C448)/C448</f>
        <v>-5.214586289275996E-4</v>
      </c>
      <c r="E449" s="209">
        <f t="shared" ref="E449" si="924">(C449-$C$2)/$C$2</f>
        <v>0.17603356100530806</v>
      </c>
      <c r="F449" s="219">
        <v>6387.75</v>
      </c>
      <c r="G449" s="171">
        <f t="shared" ref="G449" si="925">(F449-F448)/F448</f>
        <v>4.2442960419982275E-4</v>
      </c>
      <c r="H449" s="203">
        <f t="shared" ref="H449" si="926">(F449-F$2)/F$2</f>
        <v>0.25454170512795338</v>
      </c>
      <c r="I449" s="221">
        <v>341551.16</v>
      </c>
      <c r="J449" s="173">
        <v>350000</v>
      </c>
      <c r="K449" s="173">
        <f t="shared" ref="K449" si="927">I449-I448-J449+J448</f>
        <v>-1859.210000000021</v>
      </c>
      <c r="L449" s="171">
        <f t="shared" ref="L449" si="928">K449/I448</f>
        <v>-5.4139599803000151E-3</v>
      </c>
      <c r="M449" s="182">
        <f t="shared" ref="M449" si="929">I449-J449</f>
        <v>-8448.8400000000256</v>
      </c>
      <c r="N449" s="184">
        <f t="shared" ref="N449" si="930">M449/J449</f>
        <v>-2.4139542857142929E-2</v>
      </c>
      <c r="O449" s="183">
        <f t="shared" si="418"/>
        <v>-1.248862326993124E-2</v>
      </c>
      <c r="P449" s="182" t="b">
        <f t="shared" ref="P449" si="931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32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6"/>
        <v>-3.9510652619571714E-2</v>
      </c>
      <c r="Y449" s="807">
        <f t="shared" si="597"/>
        <v>-0.20017310386245099</v>
      </c>
    </row>
    <row r="450" spans="1:25" ht="20.100000000000001" customHeight="1" x14ac:dyDescent="0.25">
      <c r="A450" s="163">
        <f t="shared" si="922"/>
        <v>707</v>
      </c>
      <c r="B450" s="172">
        <v>42940</v>
      </c>
      <c r="C450" s="215">
        <v>2469.91</v>
      </c>
      <c r="D450" s="171">
        <f t="shared" ref="D450" si="933">(C450-C449)/C449</f>
        <v>-1.0636834995592019E-3</v>
      </c>
      <c r="E450" s="209">
        <f t="shared" ref="E450" si="934">(C450-$C$2)/$C$2</f>
        <v>0.17478263351153889</v>
      </c>
      <c r="F450" s="219">
        <v>6410.8</v>
      </c>
      <c r="G450" s="171">
        <f t="shared" ref="G450" si="935">(F450-F449)/F449</f>
        <v>3.6084693358381563E-3</v>
      </c>
      <c r="H450" s="203">
        <f t="shared" ref="H450" si="936">(F450-F$2)/F$2</f>
        <v>0.25906868040143771</v>
      </c>
      <c r="I450" s="221">
        <v>340982.83</v>
      </c>
      <c r="J450" s="173">
        <v>350000</v>
      </c>
      <c r="K450" s="173">
        <f t="shared" ref="K450" si="937">I450-I449-J450+J449</f>
        <v>-568.32999999995809</v>
      </c>
      <c r="L450" s="171">
        <f t="shared" ref="L450" si="938">K450/I449</f>
        <v>-1.6639674126709397E-3</v>
      </c>
      <c r="M450" s="182">
        <f t="shared" ref="M450" si="939">I450-J450</f>
        <v>-9017.1699999999837</v>
      </c>
      <c r="N450" s="184">
        <f t="shared" ref="N450" si="940">M450/J450</f>
        <v>-2.576334285714281E-2</v>
      </c>
      <c r="O450" s="183">
        <f t="shared" si="418"/>
        <v>-1.3309845797130709E-2</v>
      </c>
      <c r="P450" s="182" t="b">
        <f t="shared" ref="P450" si="941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42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6"/>
        <v>-4.2155483185343769E-2</v>
      </c>
      <c r="Y450" s="807">
        <f t="shared" si="597"/>
        <v>-0.20054597636868171</v>
      </c>
    </row>
    <row r="451" spans="1:25" ht="20.100000000000001" customHeight="1" x14ac:dyDescent="0.25">
      <c r="A451" s="163">
        <f t="shared" si="922"/>
        <v>708</v>
      </c>
      <c r="B451" s="172">
        <v>42941</v>
      </c>
      <c r="C451" s="215">
        <v>2477.13</v>
      </c>
      <c r="D451" s="171">
        <f t="shared" ref="D451" si="943">(C451-C450)/C450</f>
        <v>2.9231834358337976E-3</v>
      </c>
      <c r="E451" s="209">
        <f t="shared" ref="E451" si="944">(C451-$C$2)/$C$2</f>
        <v>0.17821673864652501</v>
      </c>
      <c r="F451" s="219">
        <v>6412.17</v>
      </c>
      <c r="G451" s="171">
        <f t="shared" ref="G451" si="945">(F451-F450)/F450</f>
        <v>2.1370187808072172E-4</v>
      </c>
      <c r="H451" s="203">
        <f t="shared" ref="H451" si="946">(F451-F$2)/F$2</f>
        <v>0.25933774574307211</v>
      </c>
      <c r="I451" s="221">
        <v>346881.69</v>
      </c>
      <c r="J451" s="173">
        <v>350000</v>
      </c>
      <c r="K451" s="173">
        <f t="shared" ref="K451" si="947">I451-I450-J451+J450</f>
        <v>5898.859999999986</v>
      </c>
      <c r="L451" s="171">
        <f t="shared" ref="L451" si="948">K451/I450</f>
        <v>1.7299580744285527E-2</v>
      </c>
      <c r="M451" s="182">
        <f t="shared" ref="M451" si="949">I451-J451</f>
        <v>-3118.3099999999977</v>
      </c>
      <c r="N451" s="184">
        <f t="shared" ref="N451" si="950">M451/J451</f>
        <v>-8.9094571428571367E-3</v>
      </c>
      <c r="O451" s="183">
        <f t="shared" si="418"/>
        <v>-4.5962983353510858E-3</v>
      </c>
      <c r="P451" s="182" t="b">
        <f t="shared" ref="P451" si="951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52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6"/>
        <v>-1.4562039104979175E-2</v>
      </c>
      <c r="Y451" s="807">
        <f t="shared" si="597"/>
        <v>-0.18712619578938214</v>
      </c>
    </row>
    <row r="452" spans="1:25" ht="20.100000000000001" customHeight="1" x14ac:dyDescent="0.25">
      <c r="A452" s="163">
        <f t="shared" si="922"/>
        <v>709</v>
      </c>
      <c r="B452" s="172">
        <v>42942</v>
      </c>
      <c r="C452" s="215">
        <v>2477.83</v>
      </c>
      <c r="D452" s="171">
        <f t="shared" ref="D452" si="953">(C452-C451)/C451</f>
        <v>2.8258508838850525E-4</v>
      </c>
      <c r="E452" s="209">
        <f t="shared" ref="E452" si="954">(C452-$C$2)/$C$2</f>
        <v>0.17854968512775626</v>
      </c>
      <c r="F452" s="219">
        <v>6422.74</v>
      </c>
      <c r="G452" s="171">
        <f t="shared" ref="G452" si="955">(F452-F451)/F451</f>
        <v>1.6484279112998733E-3</v>
      </c>
      <c r="H452" s="203">
        <f t="shared" ref="H452" si="956">(F452-F$2)/F$2</f>
        <v>0.26141367323290848</v>
      </c>
      <c r="I452" s="221">
        <v>344935.7</v>
      </c>
      <c r="J452" s="173">
        <v>350000</v>
      </c>
      <c r="K452" s="173">
        <f t="shared" ref="K452" si="957">I452-I451-J452+J451</f>
        <v>-1945.9899999999907</v>
      </c>
      <c r="L452" s="171">
        <f t="shared" ref="L452" si="958">K452/I451</f>
        <v>-5.6099530649772571E-3</v>
      </c>
      <c r="M452" s="182">
        <f t="shared" ref="M452" si="959">I452-J452</f>
        <v>-5064.2999999999884</v>
      </c>
      <c r="N452" s="184">
        <f t="shared" ref="N452" si="960">M452/J452</f>
        <v>-1.4469428571428538E-2</v>
      </c>
      <c r="O452" s="183">
        <f t="shared" si="418"/>
        <v>-7.4541026596816268E-3</v>
      </c>
      <c r="P452" s="182" t="b">
        <f t="shared" ref="P452" si="961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62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6"/>
        <v>-2.3640122354493157E-2</v>
      </c>
      <c r="Y452" s="807">
        <f t="shared" si="597"/>
        <v>-0.19301911369918481</v>
      </c>
    </row>
    <row r="453" spans="1:25" ht="20.100000000000001" customHeight="1" x14ac:dyDescent="0.25">
      <c r="A453" s="163">
        <f t="shared" si="922"/>
        <v>710</v>
      </c>
      <c r="B453" s="172">
        <v>42943</v>
      </c>
      <c r="C453" s="215">
        <v>2475.42</v>
      </c>
      <c r="D453" s="171">
        <f t="shared" ref="D453" si="963">(C453-C452)/C452</f>
        <v>-9.7262524063388312E-4</v>
      </c>
      <c r="E453" s="209">
        <f t="shared" ref="E453" si="964">(C453-$C$2)/$C$2</f>
        <v>0.17740339795665988</v>
      </c>
      <c r="F453" s="219">
        <v>6382.18</v>
      </c>
      <c r="G453" s="171">
        <f t="shared" ref="G453" si="965">(F453-F452)/F452</f>
        <v>-6.3150617960558101E-3</v>
      </c>
      <c r="H453" s="203">
        <f t="shared" ref="H453" si="966">(F453-F$2)/F$2</f>
        <v>0.25344776793605289</v>
      </c>
      <c r="I453" s="221">
        <v>347779.66</v>
      </c>
      <c r="J453" s="173">
        <v>350000</v>
      </c>
      <c r="K453" s="173">
        <f t="shared" ref="K453" si="967">I453-I452-J453+J452</f>
        <v>2843.9599999999627</v>
      </c>
      <c r="L453" s="171">
        <f t="shared" ref="L453" si="968">K453/I452</f>
        <v>8.2448989768236884E-3</v>
      </c>
      <c r="M453" s="182">
        <f t="shared" ref="M453" si="969">I453-J453</f>
        <v>-2220.3400000000256</v>
      </c>
      <c r="N453" s="184">
        <f t="shared" ref="N453" si="970">M453/J453</f>
        <v>-6.343828571428645E-3</v>
      </c>
      <c r="O453" s="183">
        <f t="shared" si="418"/>
        <v>-3.2634977263581869E-3</v>
      </c>
      <c r="P453" s="182" t="b">
        <f t="shared" ref="P453" si="971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72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6"/>
        <v>-1.0359641644182118E-2</v>
      </c>
      <c r="Y453" s="807">
        <f t="shared" si="597"/>
        <v>-0.18374722652808853</v>
      </c>
    </row>
    <row r="454" spans="1:25" ht="20.100000000000001" customHeight="1" x14ac:dyDescent="0.25">
      <c r="A454" s="163">
        <f t="shared" si="922"/>
        <v>711</v>
      </c>
      <c r="B454" s="172">
        <v>42944</v>
      </c>
      <c r="C454" s="215">
        <v>2472.1</v>
      </c>
      <c r="D454" s="171">
        <f t="shared" ref="D454" si="973">(C454-C453)/C453</f>
        <v>-1.3411865461215324E-3</v>
      </c>
      <c r="E454" s="209">
        <f t="shared" ref="E454" si="974">(C454-$C$2)/$C$2</f>
        <v>0.17582428035996264</v>
      </c>
      <c r="F454" s="219">
        <v>6374.37</v>
      </c>
      <c r="G454" s="171">
        <f t="shared" ref="G454" si="975">(F454-F453)/F453</f>
        <v>-1.223719794803719E-3</v>
      </c>
      <c r="H454" s="203">
        <f t="shared" ref="H454" si="976">(F454-F$2)/F$2</f>
        <v>0.25191389909067702</v>
      </c>
      <c r="I454" s="221">
        <v>349490.54</v>
      </c>
      <c r="J454" s="173">
        <v>350000</v>
      </c>
      <c r="K454" s="173">
        <f t="shared" ref="K454" si="977">I454-I453-J454+J453</f>
        <v>1710.8800000000047</v>
      </c>
      <c r="L454" s="171">
        <f t="shared" ref="L454" si="978">K454/I453</f>
        <v>4.919436634103342E-3</v>
      </c>
      <c r="M454" s="182">
        <f t="shared" ref="M454" si="979">I454-J454</f>
        <v>-509.46000000002095</v>
      </c>
      <c r="N454" s="184">
        <f t="shared" ref="N454" si="980">M454/J454</f>
        <v>-1.4556000000000599E-3</v>
      </c>
      <c r="O454" s="183">
        <f t="shared" si="418"/>
        <v>-7.4776075949370164E-4</v>
      </c>
      <c r="P454" s="182" t="b">
        <f t="shared" ref="P454" si="981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82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6"/>
        <v>-2.3761884860884976E-3</v>
      </c>
      <c r="Y454" s="807">
        <f t="shared" si="597"/>
        <v>-0.1772798803599627</v>
      </c>
    </row>
    <row r="455" spans="1:25" ht="20.100000000000001" customHeight="1" x14ac:dyDescent="0.25">
      <c r="A455" s="163">
        <f t="shared" si="922"/>
        <v>714</v>
      </c>
      <c r="B455" s="172">
        <v>42947</v>
      </c>
      <c r="C455" s="215">
        <v>2470.3000000000002</v>
      </c>
      <c r="D455" s="171">
        <f t="shared" ref="D455" si="983">(C455-C454)/C454</f>
        <v>-7.2812588487509696E-4</v>
      </c>
      <c r="E455" s="209">
        <f t="shared" ref="E455" si="984">(C455-$C$2)/$C$2</f>
        <v>0.17496813226536792</v>
      </c>
      <c r="F455" s="219">
        <v>6348.12</v>
      </c>
      <c r="G455" s="171">
        <f t="shared" ref="G455" si="985">(F455-F454)/F454</f>
        <v>-4.1180540194560404E-3</v>
      </c>
      <c r="H455" s="203">
        <f t="shared" ref="H455" si="986">(F455-F$2)/F$2</f>
        <v>0.24675845002651375</v>
      </c>
      <c r="I455" s="472">
        <v>348754.42</v>
      </c>
      <c r="J455" s="173">
        <v>350000</v>
      </c>
      <c r="K455" s="173">
        <f t="shared" ref="K455" si="987">I455-I454-J455+J454</f>
        <v>-736.11999999999534</v>
      </c>
      <c r="L455" s="171">
        <f t="shared" ref="L455" si="988">K455/I454</f>
        <v>-2.1062658806158111E-3</v>
      </c>
      <c r="M455" s="472">
        <f t="shared" ref="M455" si="989">I455-J455</f>
        <v>-1245.5800000000163</v>
      </c>
      <c r="N455" s="184">
        <f t="shared" ref="N455" si="990">M455/J455</f>
        <v>-3.5588000000000464E-3</v>
      </c>
      <c r="O455" s="183">
        <f t="shared" ref="O455:O518" si="991">N455/(A455/365.25)</f>
        <v>-1.8205205882353178E-3</v>
      </c>
      <c r="P455" s="182" t="b">
        <f t="shared" ref="P455" si="992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93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6"/>
        <v>-5.791447876890456E-3</v>
      </c>
      <c r="Y455" s="807">
        <f t="shared" si="597"/>
        <v>-0.17852693226536798</v>
      </c>
    </row>
    <row r="456" spans="1:25" ht="20.100000000000001" customHeight="1" x14ac:dyDescent="0.25">
      <c r="A456" s="163">
        <f t="shared" si="922"/>
        <v>716</v>
      </c>
      <c r="B456" s="172">
        <v>42949</v>
      </c>
      <c r="C456" s="215">
        <v>2477.5700000000002</v>
      </c>
      <c r="D456" s="171">
        <f t="shared" ref="D456" si="994">(C456-C455)/C455</f>
        <v>2.9429623932315839E-3</v>
      </c>
      <c r="E456" s="209">
        <f t="shared" ref="E456" si="995">(C456-$C$2)/$C$2</f>
        <v>0.17842601929187044</v>
      </c>
      <c r="F456" s="219">
        <v>6362.64</v>
      </c>
      <c r="G456" s="171">
        <f t="shared" ref="G456" si="996">(F456-F455)/F455</f>
        <v>2.2872913555510035E-3</v>
      </c>
      <c r="H456" s="203">
        <f t="shared" ref="H456" si="997">(F456-F$2)/F$2</f>
        <v>0.24961014985171959</v>
      </c>
      <c r="I456" s="221">
        <v>346224.68</v>
      </c>
      <c r="J456" s="173">
        <v>350000</v>
      </c>
      <c r="K456" s="173">
        <f t="shared" ref="K456" si="998">I456-I455-J456+J455</f>
        <v>-2529.7399999999907</v>
      </c>
      <c r="L456" s="171">
        <f t="shared" ref="L456" si="999">K456/I455</f>
        <v>-7.2536428355517062E-3</v>
      </c>
      <c r="M456" s="182">
        <f t="shared" ref="M456" si="1000">I456-J456</f>
        <v>-3775.320000000007</v>
      </c>
      <c r="N456" s="184">
        <f t="shared" ref="N456" si="1001">M456/J456</f>
        <v>-1.0786628571428591E-2</v>
      </c>
      <c r="O456" s="183">
        <f t="shared" si="991"/>
        <v>-5.5025364325618619E-3</v>
      </c>
      <c r="P456" s="182" t="b">
        <f t="shared" ref="P456" si="1002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1003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6"/>
        <v>-1.7521169701114871E-2</v>
      </c>
      <c r="Y456" s="807">
        <f t="shared" si="597"/>
        <v>-0.18921264786329903</v>
      </c>
    </row>
    <row r="457" spans="1:25" ht="20.100000000000001" customHeight="1" x14ac:dyDescent="0.25">
      <c r="A457" s="163">
        <f t="shared" si="922"/>
        <v>717</v>
      </c>
      <c r="B457" s="172">
        <v>42950</v>
      </c>
      <c r="C457" s="215">
        <v>2472.16</v>
      </c>
      <c r="D457" s="171">
        <f t="shared" ref="D457" si="1004">(C457-C456)/C456</f>
        <v>-2.1835911800676907E-3</v>
      </c>
      <c r="E457" s="209">
        <f t="shared" ref="E457" si="1005">(C457-$C$2)/$C$2</f>
        <v>0.17585281862978244</v>
      </c>
      <c r="F457" s="219">
        <v>6340.34</v>
      </c>
      <c r="G457" s="171">
        <f t="shared" ref="G457" si="1006">(F457-F456)/F456</f>
        <v>-3.5048344712258089E-3</v>
      </c>
      <c r="H457" s="203">
        <f t="shared" ref="H457" si="1007">(F457-F$2)/F$2</f>
        <v>0.24523047312292562</v>
      </c>
      <c r="I457" s="221">
        <v>348198.95</v>
      </c>
      <c r="J457" s="173">
        <v>350000</v>
      </c>
      <c r="K457" s="173">
        <f t="shared" ref="K457" si="1008">I457-I456-J457+J456</f>
        <v>1974.2700000000186</v>
      </c>
      <c r="L457" s="171">
        <f t="shared" ref="L457" si="1009">K457/I456</f>
        <v>5.7022798028148044E-3</v>
      </c>
      <c r="M457" s="182">
        <f t="shared" ref="M457" si="1010">I457-J457</f>
        <v>-1801.0499999999884</v>
      </c>
      <c r="N457" s="184">
        <f t="shared" ref="N457" si="1011">M457/J457</f>
        <v>-5.1458571428571092E-3</v>
      </c>
      <c r="O457" s="183">
        <f t="shared" si="991"/>
        <v>-2.6213728332336946E-3</v>
      </c>
      <c r="P457" s="182" t="b">
        <f t="shared" ref="P457" si="1012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13">I457-R457</f>
        <v>58363.850000000035</v>
      </c>
      <c r="T457" s="173">
        <v>-40278</v>
      </c>
      <c r="U457" s="173">
        <f t="shared" si="901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6"/>
        <v>-8.3555104637466921E-3</v>
      </c>
      <c r="Y457" s="807">
        <f t="shared" si="597"/>
        <v>-0.18099867577263956</v>
      </c>
    </row>
    <row r="458" spans="1:25" ht="20.100000000000001" customHeight="1" x14ac:dyDescent="0.25">
      <c r="A458" s="163">
        <f t="shared" si="922"/>
        <v>718</v>
      </c>
      <c r="B458" s="172">
        <v>42951</v>
      </c>
      <c r="C458" s="215">
        <v>2476.83</v>
      </c>
      <c r="D458" s="171">
        <f t="shared" ref="D458" si="1014">(C458-C457)/C457</f>
        <v>1.8890363083295875E-3</v>
      </c>
      <c r="E458" s="209">
        <f t="shared" ref="E458" si="1015">(C458-$C$2)/$C$2</f>
        <v>0.17807404729742579</v>
      </c>
      <c r="F458" s="219">
        <v>6351.56</v>
      </c>
      <c r="G458" s="171">
        <f t="shared" ref="G458" si="1016">(F458-F457)/F457</f>
        <v>1.7696211875073346E-3</v>
      </c>
      <c r="H458" s="203">
        <f t="shared" ref="H458" si="1017">(F458-F$2)/F$2</f>
        <v>0.24743405935149373</v>
      </c>
      <c r="I458" s="221">
        <v>352188.09</v>
      </c>
      <c r="J458" s="173">
        <v>350000</v>
      </c>
      <c r="K458" s="173">
        <f t="shared" ref="K458" si="1018">I458-I457-J458+J457</f>
        <v>3989.140000000014</v>
      </c>
      <c r="L458" s="171">
        <f t="shared" ref="L458" si="1019">K458/I457</f>
        <v>1.1456496350721374E-2</v>
      </c>
      <c r="M458" s="182">
        <f t="shared" ref="M458" si="1020">I458-J458</f>
        <v>2188.0900000000256</v>
      </c>
      <c r="N458" s="184">
        <f t="shared" ref="N458" si="1021">M458/J458</f>
        <v>6.2516857142857875E-3</v>
      </c>
      <c r="O458" s="183">
        <f t="shared" si="991"/>
        <v>3.1802621269399495E-3</v>
      </c>
      <c r="P458" s="182" t="b">
        <f t="shared" ref="P458" si="1022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23">I458-R458</f>
        <v>55723.920000000042</v>
      </c>
      <c r="T458" s="173">
        <v>-36936</v>
      </c>
      <c r="U458" s="173">
        <f t="shared" ref="U458" si="1024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6"/>
        <v>1.0144600541748646E-2</v>
      </c>
      <c r="Y458" s="807">
        <f t="shared" si="597"/>
        <v>-0.17182236158314002</v>
      </c>
    </row>
    <row r="459" spans="1:25" ht="20.100000000000001" customHeight="1" x14ac:dyDescent="0.25">
      <c r="A459" s="163">
        <f t="shared" si="922"/>
        <v>719</v>
      </c>
      <c r="B459" s="172">
        <v>42952</v>
      </c>
      <c r="C459" s="215">
        <v>2480.91</v>
      </c>
      <c r="D459" s="171">
        <f t="shared" ref="D459" si="1025">(C459-C458)/C458</f>
        <v>1.6472668693450609E-3</v>
      </c>
      <c r="E459" s="209">
        <f t="shared" ref="E459" si="1026">(C459-$C$2)/$C$2</f>
        <v>0.18001464964517408</v>
      </c>
      <c r="F459" s="219">
        <v>6383.77</v>
      </c>
      <c r="G459" s="171">
        <f t="shared" ref="G459" si="1027">(F459-F458)/F458</f>
        <v>5.0711951079734797E-3</v>
      </c>
      <c r="H459" s="203">
        <f t="shared" ref="H459" si="1028">(F459-F$2)/F$2</f>
        <v>0.25376004085079651</v>
      </c>
      <c r="I459" s="221">
        <v>348235.03</v>
      </c>
      <c r="J459" s="173">
        <v>350000</v>
      </c>
      <c r="K459" s="173">
        <f t="shared" ref="K459" si="1029">I459-I458-J459+J458</f>
        <v>-3953.0599999999977</v>
      </c>
      <c r="L459" s="171">
        <f t="shared" ref="L459" si="1030">K459/I458</f>
        <v>-1.1224286431718907E-2</v>
      </c>
      <c r="M459" s="182">
        <f t="shared" ref="M459" si="1031">I459-J459</f>
        <v>-1764.9699999999721</v>
      </c>
      <c r="N459" s="184">
        <f t="shared" ref="N459" si="1032">M459/J459</f>
        <v>-5.0427714285713491E-3</v>
      </c>
      <c r="O459" s="183">
        <f t="shared" si="991"/>
        <v>-2.5617138585336376E-3</v>
      </c>
      <c r="P459" s="182" t="b">
        <f t="shared" ref="P459" si="1033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34">I459-R459</f>
        <v>55723.920000000042</v>
      </c>
      <c r="T459" s="173">
        <v>-40990</v>
      </c>
      <c r="U459" s="173">
        <f t="shared" ref="U459" si="1035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6"/>
        <v>-8.1773840472482203E-3</v>
      </c>
      <c r="Y459" s="807">
        <f t="shared" si="597"/>
        <v>-0.18505742107374543</v>
      </c>
    </row>
    <row r="460" spans="1:25" ht="20.100000000000001" customHeight="1" x14ac:dyDescent="0.25">
      <c r="A460" s="163">
        <f t="shared" si="922"/>
        <v>722</v>
      </c>
      <c r="B460" s="172">
        <v>42955</v>
      </c>
      <c r="C460" s="215">
        <v>2474.92</v>
      </c>
      <c r="D460" s="171">
        <f t="shared" ref="D460" si="1036">(C460-C459)/C459</f>
        <v>-2.4144366381689711E-3</v>
      </c>
      <c r="E460" s="209">
        <f t="shared" ref="E460" si="1037">(C460-$C$2)/$C$2</f>
        <v>0.17716557904149466</v>
      </c>
      <c r="F460" s="219">
        <v>6370.46</v>
      </c>
      <c r="G460" s="171">
        <f t="shared" ref="G460" si="1038">(F460-F459)/F459</f>
        <v>-2.0849748659491803E-3</v>
      </c>
      <c r="H460" s="203">
        <f t="shared" ref="H460" si="1039">(F460-F$2)/F$2</f>
        <v>0.25114598267769117</v>
      </c>
      <c r="I460" s="221">
        <v>347445.16</v>
      </c>
      <c r="J460" s="173">
        <v>350000</v>
      </c>
      <c r="K460" s="173">
        <f t="shared" ref="K460" si="1040">I460-I459-J460+J459</f>
        <v>-789.87000000005355</v>
      </c>
      <c r="L460" s="171">
        <f t="shared" ref="L460" si="1041">K460/I459</f>
        <v>-2.2682094905847167E-3</v>
      </c>
      <c r="M460" s="182">
        <f t="shared" ref="M460" si="1042">I460-J460</f>
        <v>-2554.8400000000256</v>
      </c>
      <c r="N460" s="184">
        <f t="shared" ref="N460" si="1043">M460/J460</f>
        <v>-7.2995428571429304E-3</v>
      </c>
      <c r="O460" s="183">
        <f t="shared" si="991"/>
        <v>-3.6927396517610184E-3</v>
      </c>
      <c r="P460" s="182" t="b">
        <f t="shared" ref="P460" si="1044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45">I460-R460</f>
        <v>64519.709999999963</v>
      </c>
      <c r="T460" s="173">
        <v>-41466</v>
      </c>
      <c r="U460" s="173">
        <f t="shared" ref="U460:U461" si="1046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6"/>
        <v>-1.1800478364467081E-2</v>
      </c>
      <c r="Y460" s="807">
        <f t="shared" si="597"/>
        <v>-0.18446512189863759</v>
      </c>
    </row>
    <row r="461" spans="1:25" ht="20.100000000000001" customHeight="1" x14ac:dyDescent="0.25">
      <c r="A461" s="163">
        <f t="shared" si="922"/>
        <v>723</v>
      </c>
      <c r="B461" s="172">
        <v>42956</v>
      </c>
      <c r="C461" s="215">
        <v>2474.02</v>
      </c>
      <c r="D461" s="171">
        <f t="shared" ref="D461" si="1047">(C461-C460)/C460</f>
        <v>-3.6364811791899976E-4</v>
      </c>
      <c r="E461" s="209">
        <f t="shared" ref="E461" si="1048">(C461-$C$2)/$C$2</f>
        <v>0.17673750499419719</v>
      </c>
      <c r="F461" s="219">
        <v>6352.33</v>
      </c>
      <c r="G461" s="171">
        <f t="shared" ref="G461" si="1049">(F461-F460)/F460</f>
        <v>-2.8459483302618821E-3</v>
      </c>
      <c r="H461" s="203">
        <f t="shared" ref="H461" si="1050">(F461-F$2)/F$2</f>
        <v>0.24758528585737577</v>
      </c>
      <c r="I461" s="221">
        <v>344663.89</v>
      </c>
      <c r="J461" s="173">
        <v>350000</v>
      </c>
      <c r="K461" s="173">
        <f t="shared" ref="K461" si="1051">I461-I460-J461+J460</f>
        <v>-2781.2699999999604</v>
      </c>
      <c r="L461" s="171">
        <f t="shared" ref="L461" si="1052">K461/I460</f>
        <v>-8.0049179559731395E-3</v>
      </c>
      <c r="M461" s="182">
        <f t="shared" ref="M461" si="1053">I461-J461</f>
        <v>-5336.109999999986</v>
      </c>
      <c r="N461" s="184">
        <f t="shared" ref="N461" si="1054">M461/J461</f>
        <v>-1.5246028571428531E-2</v>
      </c>
      <c r="O461" s="183">
        <f t="shared" si="991"/>
        <v>-7.7020911973917994E-3</v>
      </c>
      <c r="P461" s="182" t="b">
        <f t="shared" ref="P461" si="1055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56">I461-R461</f>
        <v>58769.710000000021</v>
      </c>
      <c r="T461" s="173">
        <v>-43506</v>
      </c>
      <c r="U461" s="173">
        <f t="shared" si="1046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6"/>
        <v>-2.4634777804082724E-2</v>
      </c>
      <c r="Y461" s="807">
        <f t="shared" si="597"/>
        <v>-0.19198353356562572</v>
      </c>
    </row>
    <row r="462" spans="1:25" ht="20.100000000000001" customHeight="1" x14ac:dyDescent="0.25">
      <c r="A462" s="163">
        <f t="shared" si="922"/>
        <v>724</v>
      </c>
      <c r="B462" s="172">
        <v>42957</v>
      </c>
      <c r="C462" s="215">
        <v>2438.21</v>
      </c>
      <c r="D462" s="171">
        <f t="shared" ref="D462" si="1057">(C462-C461)/C461</f>
        <v>-1.4474418153450637E-2</v>
      </c>
      <c r="E462" s="209">
        <f t="shared" ref="E462" si="1058">(C462-$C$2)/$C$2</f>
        <v>0.15970491429006295</v>
      </c>
      <c r="F462" s="219">
        <v>6216.87</v>
      </c>
      <c r="G462" s="171">
        <f t="shared" ref="G462" si="1059">(F462-F461)/F461</f>
        <v>-2.1324458899333005E-2</v>
      </c>
      <c r="H462" s="203">
        <f t="shared" ref="H462" si="1060">(F462-F$2)/F$2</f>
        <v>0.22098120470569754</v>
      </c>
      <c r="I462" s="221">
        <v>338857.2</v>
      </c>
      <c r="J462" s="173">
        <v>350000</v>
      </c>
      <c r="K462" s="173">
        <f t="shared" ref="K462" si="1061">I462-I461-J462+J461</f>
        <v>-5806.6900000000023</v>
      </c>
      <c r="L462" s="171">
        <f t="shared" ref="L462" si="1062">K462/I461</f>
        <v>-1.6847398780301594E-2</v>
      </c>
      <c r="M462" s="182">
        <f t="shared" ref="M462" si="1063">I462-J462</f>
        <v>-11142.799999999988</v>
      </c>
      <c r="N462" s="184">
        <f t="shared" ref="N462" si="1064">M462/J462</f>
        <v>-3.1836571428571395E-2</v>
      </c>
      <c r="O462" s="183">
        <f t="shared" si="991"/>
        <v>-1.6061198500394617E-2</v>
      </c>
      <c r="P462" s="182" t="b">
        <f t="shared" ref="P462" si="1065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66">I462-R462</f>
        <v>49929.710000000021</v>
      </c>
      <c r="T462" s="173">
        <v>-45429</v>
      </c>
      <c r="U462" s="173">
        <f t="shared" ref="U462:U472" si="1067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6"/>
        <v>-5.1384371531331227E-2</v>
      </c>
      <c r="Y462" s="807">
        <f t="shared" si="597"/>
        <v>-0.19154148571863433</v>
      </c>
    </row>
    <row r="463" spans="1:25" ht="20.100000000000001" customHeight="1" x14ac:dyDescent="0.25">
      <c r="A463" s="163">
        <f t="shared" si="922"/>
        <v>729</v>
      </c>
      <c r="B463" s="172">
        <v>42962</v>
      </c>
      <c r="C463" s="215">
        <v>2464.61</v>
      </c>
      <c r="D463" s="171">
        <f t="shared" ref="D463" si="1068">(C463-C462)/C462</f>
        <v>1.0827615340762318E-2</v>
      </c>
      <c r="E463" s="209">
        <f t="shared" ref="E463" si="1069">(C463-$C$2)/$C$2</f>
        <v>0.1722617530107875</v>
      </c>
      <c r="F463" s="219">
        <v>6333.01</v>
      </c>
      <c r="G463" s="171">
        <f t="shared" ref="G463" si="1070">(F463-F462)/F462</f>
        <v>1.8681426505621049E-2</v>
      </c>
      <c r="H463" s="203">
        <f t="shared" ref="H463" si="1071">(F463-F$2)/F$2</f>
        <v>0.24379087534615168</v>
      </c>
      <c r="I463" s="221">
        <v>332438.64</v>
      </c>
      <c r="J463" s="173">
        <v>350000</v>
      </c>
      <c r="K463" s="173">
        <f t="shared" ref="K463" si="1072">I463-I462-J463+J462</f>
        <v>-6418.5599999999977</v>
      </c>
      <c r="L463" s="171">
        <f t="shared" ref="L463" si="1073">K463/I462</f>
        <v>-1.8941784326849179E-2</v>
      </c>
      <c r="M463" s="182">
        <f t="shared" ref="M463" si="1074">I463-J463</f>
        <v>-17561.359999999986</v>
      </c>
      <c r="N463" s="184">
        <f t="shared" ref="N463" si="1075">M463/J463</f>
        <v>-5.0175314285714243E-2</v>
      </c>
      <c r="O463" s="183">
        <f t="shared" si="991"/>
        <v>-2.5139277836566703E-2</v>
      </c>
      <c r="P463" s="182" t="b">
        <f t="shared" ref="P463" si="1076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7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6"/>
        <v>-8.0431733918101475E-2</v>
      </c>
      <c r="Y463" s="807">
        <f t="shared" si="597"/>
        <v>-0.22243706729650176</v>
      </c>
    </row>
    <row r="464" spans="1:25" ht="20.100000000000001" customHeight="1" x14ac:dyDescent="0.25">
      <c r="A464" s="163">
        <f t="shared" si="922"/>
        <v>730</v>
      </c>
      <c r="B464" s="172">
        <v>42963</v>
      </c>
      <c r="C464" s="215">
        <v>2468.11</v>
      </c>
      <c r="D464" s="171">
        <f t="shared" ref="D464" si="1078">(C464-C463)/C463</f>
        <v>1.4201029777530724E-3</v>
      </c>
      <c r="E464" s="209">
        <f t="shared" ref="E464" si="1079">(C464-$C$2)/$C$2</f>
        <v>0.17392648541694417</v>
      </c>
      <c r="F464" s="219">
        <v>6345.1</v>
      </c>
      <c r="G464" s="171">
        <f t="shared" ref="G464" si="1080">(F464-F463)/F463</f>
        <v>1.9090448301834586E-3</v>
      </c>
      <c r="H464" s="203">
        <f t="shared" ref="H464" si="1081">(F464-F$2)/F$2</f>
        <v>0.24616532788656059</v>
      </c>
      <c r="I464" s="221">
        <v>331487.06</v>
      </c>
      <c r="J464" s="173">
        <v>350000</v>
      </c>
      <c r="K464" s="173">
        <f t="shared" ref="K464" si="1082">I464-I463-J464+J463</f>
        <v>-951.5800000000163</v>
      </c>
      <c r="L464" s="171">
        <f t="shared" ref="L464" si="1083">K464/I463</f>
        <v>-2.8624229722514095E-3</v>
      </c>
      <c r="M464" s="182">
        <f t="shared" ref="M464" si="1084">I464-J464</f>
        <v>-18512.940000000002</v>
      </c>
      <c r="N464" s="184">
        <f t="shared" ref="N464" si="1085">M464/J464</f>
        <v>-5.2894114285714292E-2</v>
      </c>
      <c r="O464" s="183">
        <f t="shared" si="991"/>
        <v>-2.6465171565557732E-2</v>
      </c>
      <c r="P464" s="182" t="b">
        <f t="shared" ref="P464" si="1086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7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6"/>
        <v>-8.4763513171104282E-2</v>
      </c>
      <c r="Y464" s="807">
        <f t="shared" si="597"/>
        <v>-0.22682059970265844</v>
      </c>
    </row>
    <row r="465" spans="1:25" ht="20.100000000000001" customHeight="1" x14ac:dyDescent="0.25">
      <c r="A465" s="163">
        <f t="shared" si="922"/>
        <v>731</v>
      </c>
      <c r="B465" s="172">
        <v>42964</v>
      </c>
      <c r="C465" s="215">
        <v>2430.0100000000002</v>
      </c>
      <c r="D465" s="171">
        <f t="shared" ref="D465" si="1088">(C465-C464)/C464</f>
        <v>-1.5436913265616163E-2</v>
      </c>
      <c r="E465" s="209">
        <f t="shared" ref="E465" si="1089">(C465-$C$2)/$C$2</f>
        <v>0.15580468408135317</v>
      </c>
      <c r="F465" s="219">
        <v>6221.91</v>
      </c>
      <c r="G465" s="171">
        <f t="shared" ref="G465" si="1090">(F465-F464)/F464</f>
        <v>-1.9414981639375346E-2</v>
      </c>
      <c r="H465" s="203">
        <f t="shared" ref="H465" si="1091">(F465-F$2)/F$2</f>
        <v>0.22197105092601688</v>
      </c>
      <c r="I465" s="221">
        <v>325889.02</v>
      </c>
      <c r="J465" s="173">
        <v>350000</v>
      </c>
      <c r="K465" s="173">
        <f t="shared" ref="K465" si="1092">I465-I464-J465+J464</f>
        <v>-5598.039999999979</v>
      </c>
      <c r="L465" s="171">
        <f t="shared" ref="L465" si="1093">K465/I464</f>
        <v>-1.6887657696200809E-2</v>
      </c>
      <c r="M465" s="182">
        <f t="shared" ref="M465" si="1094">I465-J465</f>
        <v>-24110.979999999981</v>
      </c>
      <c r="N465" s="184">
        <f t="shared" ref="N465" si="1095">M465/J465</f>
        <v>-6.8888514285714228E-2</v>
      </c>
      <c r="O465" s="183">
        <f t="shared" si="991"/>
        <v>-3.4420697459448868E-2</v>
      </c>
      <c r="P465" s="182" t="b">
        <f t="shared" ref="P465" si="1096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7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6"/>
        <v>-0.11027249252926981</v>
      </c>
      <c r="Y465" s="807">
        <f t="shared" si="597"/>
        <v>-0.22469319836706741</v>
      </c>
    </row>
    <row r="466" spans="1:25" ht="20.100000000000001" customHeight="1" x14ac:dyDescent="0.25">
      <c r="A466" s="163">
        <f t="shared" si="922"/>
        <v>734</v>
      </c>
      <c r="B466" s="172">
        <v>42967</v>
      </c>
      <c r="C466" s="215">
        <v>2425.5500000000002</v>
      </c>
      <c r="D466" s="171">
        <f t="shared" ref="D466:D467" si="1098">(C466-C465)/C465</f>
        <v>-1.8353833934839922E-3</v>
      </c>
      <c r="E466" s="209">
        <f t="shared" ref="E466:E467" si="1099">(C466-$C$2)/$C$2</f>
        <v>0.15368333935807924</v>
      </c>
      <c r="F466" s="219">
        <v>6216.52</v>
      </c>
      <c r="G466" s="171">
        <f t="shared" ref="G466:G468" si="1100">(F466-F465)/F465</f>
        <v>-8.6629346936863724E-4</v>
      </c>
      <c r="H466" s="203">
        <f t="shared" ref="H466:H467" si="1101">(F466-F$2)/F$2</f>
        <v>0.22091246538484213</v>
      </c>
      <c r="I466" s="221">
        <v>347339.95</v>
      </c>
      <c r="J466" s="173">
        <v>370000</v>
      </c>
      <c r="K466" s="173">
        <f t="shared" ref="K466" si="1102">I466-I465-J466+J465</f>
        <v>1450.929999999993</v>
      </c>
      <c r="L466" s="171">
        <f t="shared" ref="L466" si="1103">K466/I465</f>
        <v>4.4522211886733496E-3</v>
      </c>
      <c r="M466" s="182">
        <f t="shared" ref="M466" si="1104">I466-J466</f>
        <v>-22660.049999999988</v>
      </c>
      <c r="N466" s="184">
        <f t="shared" ref="N466" si="1105">M466/J466</f>
        <v>-6.1243378378378344E-2</v>
      </c>
      <c r="O466" s="183">
        <f t="shared" si="991"/>
        <v>-3.0475672960085409E-2</v>
      </c>
      <c r="P466" s="182" t="b">
        <f t="shared" ref="P466" si="1106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7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6"/>
        <v>-9.7734682309088633E-2</v>
      </c>
      <c r="Y466" s="807">
        <f t="shared" si="597"/>
        <v>-0.21492671773645758</v>
      </c>
    </row>
    <row r="467" spans="1:25" ht="20.100000000000001" customHeight="1" x14ac:dyDescent="0.25">
      <c r="A467" s="163">
        <f t="shared" si="922"/>
        <v>736</v>
      </c>
      <c r="B467" s="172">
        <v>42969</v>
      </c>
      <c r="C467" s="215">
        <v>2452.5100000000002</v>
      </c>
      <c r="D467" s="171">
        <f t="shared" si="1098"/>
        <v>1.1115004844262141E-2</v>
      </c>
      <c r="E467" s="209">
        <f t="shared" si="1099"/>
        <v>0.16650653526378881</v>
      </c>
      <c r="F467" s="219">
        <v>6297.47</v>
      </c>
      <c r="G467" s="171">
        <f t="shared" si="1100"/>
        <v>1.3021754936845665E-2</v>
      </c>
      <c r="H467" s="203">
        <f t="shared" si="1101"/>
        <v>0.23681088830842362</v>
      </c>
      <c r="I467" s="221">
        <v>347918.93</v>
      </c>
      <c r="J467" s="173">
        <v>370000</v>
      </c>
      <c r="K467" s="173">
        <f t="shared" ref="K467" si="1108">I467-I466-J467+J466</f>
        <v>578.97999999998137</v>
      </c>
      <c r="L467" s="171">
        <f t="shared" ref="L467" si="1109">K467/I466</f>
        <v>1.6668972284932422E-3</v>
      </c>
      <c r="M467" s="182">
        <f t="shared" ref="M467" si="1110">I467-J467</f>
        <v>-22081.070000000007</v>
      </c>
      <c r="N467" s="184">
        <f t="shared" ref="N467" si="1111">M467/J467</f>
        <v>-5.9678567567567585E-2</v>
      </c>
      <c r="O467" s="183">
        <f t="shared" si="991"/>
        <v>-2.9616300005508238E-2</v>
      </c>
      <c r="P467" s="182" t="b">
        <f t="shared" ref="P467" si="1112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13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6"/>
        <v>-9.5080667367544003E-2</v>
      </c>
      <c r="Y467" s="807">
        <f t="shared" si="597"/>
        <v>-0.2261851028313564</v>
      </c>
    </row>
    <row r="468" spans="1:25" ht="20.100000000000001" customHeight="1" x14ac:dyDescent="0.25">
      <c r="A468" s="163">
        <f t="shared" si="922"/>
        <v>739</v>
      </c>
      <c r="B468" s="172">
        <v>42972</v>
      </c>
      <c r="C468" s="215">
        <v>2443.0500000000002</v>
      </c>
      <c r="D468" s="171">
        <f t="shared" ref="D468" si="1114">(C468-C467)/C467</f>
        <v>-3.8572727532201847E-3</v>
      </c>
      <c r="E468" s="209">
        <f t="shared" ref="E468" si="1115">(C468-$C$2)/$C$2</f>
        <v>0.16200700138886251</v>
      </c>
      <c r="F468" s="219">
        <v>6265.64</v>
      </c>
      <c r="G468" s="171">
        <f t="shared" si="1100"/>
        <v>-5.0544107395509505E-3</v>
      </c>
      <c r="H468" s="203">
        <f t="shared" ref="H468" si="1116">(F468-F$2)/F$2</f>
        <v>0.23055953807176396</v>
      </c>
      <c r="I468" s="221">
        <v>350194.37</v>
      </c>
      <c r="J468" s="173">
        <v>370000</v>
      </c>
      <c r="K468" s="173">
        <f t="shared" ref="K468" si="1117">I468-I467-J468+J467</f>
        <v>2275.4400000000023</v>
      </c>
      <c r="L468" s="171">
        <f t="shared" ref="L468" si="1118">K468/I467</f>
        <v>6.5401442801632046E-3</v>
      </c>
      <c r="M468" s="182">
        <f t="shared" ref="M468" si="1119">I468-J468</f>
        <v>-19805.630000000005</v>
      </c>
      <c r="N468" s="184">
        <f t="shared" ref="N468" si="1120">M468/J468</f>
        <v>-5.3528729729729739E-2</v>
      </c>
      <c r="O468" s="183">
        <f t="shared" si="991"/>
        <v>-2.6456520343415137E-2</v>
      </c>
      <c r="P468" s="182" t="b">
        <f t="shared" ref="P468" si="1121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22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6"/>
        <v>-8.5018514968921113E-2</v>
      </c>
      <c r="Y468" s="807">
        <f t="shared" si="597"/>
        <v>-0.21553573111859226</v>
      </c>
    </row>
    <row r="469" spans="1:25" ht="20.100000000000001" customHeight="1" x14ac:dyDescent="0.25">
      <c r="A469" s="163">
        <f t="shared" si="922"/>
        <v>743</v>
      </c>
      <c r="B469" s="172">
        <v>42976</v>
      </c>
      <c r="C469" s="215">
        <v>2446.3000000000002</v>
      </c>
      <c r="D469" s="171">
        <f t="shared" ref="D469" si="1123">(C469-C468)/C468</f>
        <v>1.3303043326988804E-3</v>
      </c>
      <c r="E469" s="209">
        <f t="shared" ref="E469" si="1124">(C469-$C$2)/$C$2</f>
        <v>0.16355282433743656</v>
      </c>
      <c r="F469" s="219">
        <v>6301.88</v>
      </c>
      <c r="G469" s="171">
        <f t="shared" ref="G469" si="1125">(F469-F468)/F468</f>
        <v>5.7839263028197883E-3</v>
      </c>
      <c r="H469" s="203">
        <f t="shared" ref="H469" si="1126">(F469-F$2)/F$2</f>
        <v>0.23767700375120301</v>
      </c>
      <c r="I469" s="221">
        <v>348569.19</v>
      </c>
      <c r="J469" s="173">
        <v>370000</v>
      </c>
      <c r="K469" s="173">
        <f t="shared" ref="K469" si="1127">I469-I468-J469+J468</f>
        <v>-1625.179999999993</v>
      </c>
      <c r="L469" s="171">
        <f t="shared" ref="L469" si="1128">K469/I468</f>
        <v>-4.6407941966628216E-3</v>
      </c>
      <c r="M469" s="182">
        <f t="shared" ref="M469" si="1129">I469-J469</f>
        <v>-21430.809999999998</v>
      </c>
      <c r="N469" s="184">
        <f t="shared" ref="N469" si="1130">M469/J469</f>
        <v>-5.7921108108108105E-2</v>
      </c>
      <c r="O469" s="183">
        <f t="shared" si="991"/>
        <v>-2.847333073551344E-2</v>
      </c>
      <c r="P469" s="182" t="b">
        <f t="shared" ref="P469" si="1131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32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6"/>
        <v>-9.1591776615150278E-2</v>
      </c>
      <c r="Y469" s="807">
        <f t="shared" si="597"/>
        <v>-0.22147393244554467</v>
      </c>
    </row>
    <row r="470" spans="1:25" ht="20.100000000000001" customHeight="1" x14ac:dyDescent="0.25">
      <c r="A470" s="163">
        <f t="shared" si="922"/>
        <v>744</v>
      </c>
      <c r="B470" s="172">
        <v>42977</v>
      </c>
      <c r="C470" s="215">
        <v>2457.59</v>
      </c>
      <c r="D470" s="171">
        <f t="shared" ref="D470" si="1133">(C470-C469)/C469</f>
        <v>4.6151330580877087E-3</v>
      </c>
      <c r="E470" s="209">
        <f t="shared" ref="E470" si="1134">(C470-$C$2)/$C$2</f>
        <v>0.1689227754418676</v>
      </c>
      <c r="F470" s="219">
        <v>6368.3</v>
      </c>
      <c r="G470" s="171">
        <f t="shared" ref="G470" si="1135">(F470-F469)/F469</f>
        <v>1.0539711958970984E-2</v>
      </c>
      <c r="H470" s="203">
        <f t="shared" ref="H470" si="1136">(F470-F$2)/F$2</f>
        <v>0.25072176286898296</v>
      </c>
      <c r="I470" s="221">
        <v>350684.01</v>
      </c>
      <c r="J470" s="173">
        <v>370000</v>
      </c>
      <c r="K470" s="173">
        <f t="shared" ref="K470" si="1137">I470-I469-J470+J469</f>
        <v>2114.820000000007</v>
      </c>
      <c r="L470" s="171">
        <f t="shared" ref="L470" si="1138">K470/I469</f>
        <v>6.0671455213812987E-3</v>
      </c>
      <c r="M470" s="182">
        <f t="shared" ref="M470" si="1139">I470-J470</f>
        <v>-19315.989999999991</v>
      </c>
      <c r="N470" s="184">
        <f t="shared" ref="N470" si="1140">M470/J470</f>
        <v>-5.2205378378378353E-2</v>
      </c>
      <c r="O470" s="183">
        <f t="shared" si="991"/>
        <v>-2.5629051683740179E-2</v>
      </c>
      <c r="P470" s="182" t="b">
        <f t="shared" ref="P470" si="1141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42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6"/>
        <v>-8.2523022304220969E-2</v>
      </c>
      <c r="Y470" s="807">
        <f t="shared" si="597"/>
        <v>-0.22112815382024595</v>
      </c>
    </row>
    <row r="471" spans="1:25" ht="20.100000000000001" customHeight="1" x14ac:dyDescent="0.25">
      <c r="A471" s="163">
        <f t="shared" si="922"/>
        <v>745</v>
      </c>
      <c r="B471" s="172">
        <v>42978</v>
      </c>
      <c r="C471" s="215">
        <v>2471.65</v>
      </c>
      <c r="D471" s="171">
        <f t="shared" ref="D471" si="1143">(C471-C470)/C470</f>
        <v>5.7210519248531875E-3</v>
      </c>
      <c r="E471" s="209">
        <f t="shared" ref="E471" si="1144">(C471-$C$2)/$C$2</f>
        <v>0.175610243336314</v>
      </c>
      <c r="F471" s="219">
        <v>6428.66</v>
      </c>
      <c r="G471" s="171">
        <f t="shared" ref="G471" si="1145">(F471-F470)/F470</f>
        <v>9.4781966929949387E-3</v>
      </c>
      <c r="H471" s="203">
        <f t="shared" ref="H471" si="1146">(F471-F$2)/F$2</f>
        <v>0.26257634974566452</v>
      </c>
      <c r="I471" s="414">
        <v>352584.03</v>
      </c>
      <c r="J471" s="173">
        <v>370000</v>
      </c>
      <c r="K471" s="173">
        <f t="shared" ref="K471" si="1147">I471-I470-J471+J470</f>
        <v>1900.0200000000186</v>
      </c>
      <c r="L471" s="171">
        <f t="shared" ref="L471" si="1148">K471/I470</f>
        <v>5.4180400184200544E-3</v>
      </c>
      <c r="M471" s="414">
        <f t="shared" ref="M471" si="1149">I471-J471</f>
        <v>-17415.969999999972</v>
      </c>
      <c r="N471" s="184">
        <f t="shared" ref="N471" si="1150">M471/J471</f>
        <v>-4.7070189189189114E-2</v>
      </c>
      <c r="O471" s="183">
        <f t="shared" si="991"/>
        <v>-2.3077028995102448E-2</v>
      </c>
      <c r="P471" s="182" t="b">
        <f t="shared" ref="P471" si="1151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52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6"/>
        <v>-7.4379744273624371E-2</v>
      </c>
      <c r="Y471" s="807">
        <f t="shared" si="597"/>
        <v>-0.22268043252550312</v>
      </c>
    </row>
    <row r="472" spans="1:25" ht="20.100000000000001" customHeight="1" x14ac:dyDescent="0.25">
      <c r="A472" s="163">
        <f t="shared" si="922"/>
        <v>746</v>
      </c>
      <c r="B472" s="172">
        <v>42979</v>
      </c>
      <c r="C472" s="215">
        <v>2476.5500000000002</v>
      </c>
      <c r="D472" s="171">
        <f t="shared" ref="D472" si="1153">(C472-C471)/C471</f>
        <v>1.9824813383772341E-3</v>
      </c>
      <c r="E472" s="209">
        <f t="shared" ref="E472" si="1154">(C472-$C$2)/$C$2</f>
        <v>0.17794086870493336</v>
      </c>
      <c r="F472" s="219">
        <v>6435.33</v>
      </c>
      <c r="G472" s="171">
        <f t="shared" ref="G472" si="1155">(F472-F471)/F471</f>
        <v>1.0375412605426438E-3</v>
      </c>
      <c r="H472" s="203">
        <f t="shared" ref="H472" si="1156">(F472-F$2)/F$2</f>
        <v>0.26388632480311097</v>
      </c>
      <c r="I472" s="221">
        <v>336954.37</v>
      </c>
      <c r="J472" s="173">
        <v>350000</v>
      </c>
      <c r="K472" s="173">
        <f t="shared" ref="K472" si="1157">I472-I471-J472+J471</f>
        <v>4370.3399999999674</v>
      </c>
      <c r="L472" s="171">
        <f t="shared" ref="L472" si="1158">K472/I471</f>
        <v>1.2395172861345895E-2</v>
      </c>
      <c r="M472" s="182">
        <f t="shared" ref="M472" si="1159">I472-J472</f>
        <v>-13045.630000000005</v>
      </c>
      <c r="N472" s="184">
        <f t="shared" ref="N472" si="1160">M472/J472</f>
        <v>-3.7273228571428584E-2</v>
      </c>
      <c r="O472" s="183">
        <f t="shared" si="991"/>
        <v>-1.8249392407123713E-2</v>
      </c>
      <c r="P472" s="182" t="b">
        <f t="shared" ref="P472" si="1161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52"/>
        <v>45474.839999999967</v>
      </c>
      <c r="T472" s="173">
        <v>-52981</v>
      </c>
      <c r="U472" s="173">
        <f t="shared" si="1067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6"/>
        <v>-5.8858406465382505E-2</v>
      </c>
      <c r="Y472" s="807">
        <f t="shared" si="597"/>
        <v>-0.21521409727636195</v>
      </c>
    </row>
    <row r="473" spans="1:25" ht="20.100000000000001" customHeight="1" x14ac:dyDescent="0.25">
      <c r="A473" s="163">
        <f t="shared" si="922"/>
        <v>750</v>
      </c>
      <c r="B473" s="172">
        <v>42983</v>
      </c>
      <c r="C473" s="215">
        <v>2457.85</v>
      </c>
      <c r="D473" s="171">
        <f t="shared" ref="D473" si="1162">(C473-C472)/C472</f>
        <v>-7.5508267549616488E-3</v>
      </c>
      <c r="E473" s="209">
        <f t="shared" ref="E473" si="1163">(C473-$C$2)/$C$2</f>
        <v>0.1690464412777534</v>
      </c>
      <c r="F473" s="219">
        <v>6375.57</v>
      </c>
      <c r="G473" s="171">
        <f t="shared" ref="G473" si="1164">(F473-F472)/F472</f>
        <v>-9.2862370694277094E-3</v>
      </c>
      <c r="H473" s="203">
        <f t="shared" ref="H473" si="1165">(F473-F$2)/F$2</f>
        <v>0.25214957676218158</v>
      </c>
      <c r="I473" s="221">
        <v>336250.61</v>
      </c>
      <c r="J473" s="173">
        <v>350000</v>
      </c>
      <c r="K473" s="173">
        <f t="shared" ref="K473" si="1166">I473-I472-J473+J472</f>
        <v>-703.76000000000931</v>
      </c>
      <c r="L473" s="171">
        <f t="shared" ref="L473" si="1167">K473/I472</f>
        <v>-2.0885914018566056E-3</v>
      </c>
      <c r="M473" s="182">
        <f t="shared" ref="M473" si="1168">I473-J473</f>
        <v>-13749.390000000014</v>
      </c>
      <c r="N473" s="184">
        <f t="shared" ref="N473" si="1169">M473/J473</f>
        <v>-3.9283971428571471E-2</v>
      </c>
      <c r="O473" s="183">
        <f t="shared" si="991"/>
        <v>-1.9131294085714307E-2</v>
      </c>
      <c r="P473" s="182" t="b">
        <f t="shared" ref="P473" si="1170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71">I473-R473</f>
        <v>40174.140000000014</v>
      </c>
      <c r="T473" s="173">
        <v>-52601</v>
      </c>
      <c r="U473" s="173">
        <f t="shared" ref="U473" si="1172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6"/>
        <v>-6.1767506883004947E-2</v>
      </c>
      <c r="Y473" s="807">
        <f t="shared" si="597"/>
        <v>-0.20833041270632485</v>
      </c>
    </row>
    <row r="474" spans="1:25" ht="20.100000000000001" customHeight="1" x14ac:dyDescent="0.25">
      <c r="A474" s="163">
        <f t="shared" si="922"/>
        <v>751</v>
      </c>
      <c r="B474" s="172">
        <v>42984</v>
      </c>
      <c r="C474" s="215">
        <v>2465.54</v>
      </c>
      <c r="D474" s="171">
        <f t="shared" ref="D474" si="1173">(C474-C473)/C473</f>
        <v>3.128750737433145E-3</v>
      </c>
      <c r="E474" s="209">
        <f t="shared" ref="E474" si="1174">(C474-$C$2)/$C$2</f>
        <v>0.17270409619299476</v>
      </c>
      <c r="F474" s="219">
        <v>6393.31</v>
      </c>
      <c r="G474" s="171">
        <f t="shared" ref="G474" si="1175">(F474-F473)/F473</f>
        <v>2.7824963101339474E-3</v>
      </c>
      <c r="H474" s="203">
        <f t="shared" ref="H474" si="1176">(F474-F$2)/F$2</f>
        <v>0.25563367833925815</v>
      </c>
      <c r="I474" s="221">
        <v>342369.21</v>
      </c>
      <c r="J474" s="173">
        <v>350000</v>
      </c>
      <c r="K474" s="173">
        <f t="shared" ref="K474" si="1177">I474-I473-J474+J473</f>
        <v>6118.6000000000349</v>
      </c>
      <c r="L474" s="171">
        <f t="shared" ref="L474" si="1178">K474/I473</f>
        <v>1.8196546914814624E-2</v>
      </c>
      <c r="M474" s="182">
        <f t="shared" ref="M474" si="1179">I474-J474</f>
        <v>-7630.789999999979</v>
      </c>
      <c r="N474" s="184">
        <f t="shared" ref="N474" si="1180">M474/J474</f>
        <v>-2.1802257142857082E-2</v>
      </c>
      <c r="O474" s="183">
        <f t="shared" si="991"/>
        <v>-1.0603561147042008E-2</v>
      </c>
      <c r="P474" s="182" t="b">
        <f t="shared" ref="P474" si="1181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82">I474-R474</f>
        <v>86976.560000000027</v>
      </c>
      <c r="T474" s="173">
        <v>-48637</v>
      </c>
      <c r="U474" s="173">
        <f t="shared" ref="U474" si="1183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6"/>
        <v>-3.4240568013389899E-2</v>
      </c>
      <c r="Y474" s="807">
        <f t="shared" si="597"/>
        <v>-0.19450635333585184</v>
      </c>
    </row>
    <row r="475" spans="1:25" ht="20.100000000000001" customHeight="1" x14ac:dyDescent="0.25">
      <c r="A475" s="163">
        <f t="shared" si="922"/>
        <v>752</v>
      </c>
      <c r="B475" s="172">
        <v>42985</v>
      </c>
      <c r="C475" s="215">
        <v>2465.1</v>
      </c>
      <c r="D475" s="171">
        <f t="shared" ref="D475" si="1184">(C475-C474)/C474</f>
        <v>-1.7845989113948854E-4</v>
      </c>
      <c r="E475" s="209">
        <f t="shared" ref="E475" si="1185">(C475-$C$2)/$C$2</f>
        <v>0.17249481554764931</v>
      </c>
      <c r="F475" s="219">
        <v>6397.86</v>
      </c>
      <c r="G475" s="171">
        <f t="shared" ref="G475" si="1186">(F475-F474)/F474</f>
        <v>7.1168142949415436E-4</v>
      </c>
      <c r="H475" s="203">
        <f t="shared" ref="H475" si="1187">(F475-F$2)/F$2</f>
        <v>0.25652728951037962</v>
      </c>
      <c r="I475" s="221">
        <v>342957.79</v>
      </c>
      <c r="J475" s="173">
        <v>350000</v>
      </c>
      <c r="K475" s="173">
        <f t="shared" ref="K475" si="1188">I475-I474-J475+J474</f>
        <v>588.57999999995809</v>
      </c>
      <c r="L475" s="171">
        <f t="shared" ref="L475" si="1189">K475/I474</f>
        <v>1.7191382367589599E-3</v>
      </c>
      <c r="M475" s="182">
        <f t="shared" ref="M475" si="1190">I475-J475</f>
        <v>-7042.210000000021</v>
      </c>
      <c r="N475" s="184">
        <f t="shared" ref="N475" si="1191">M475/J475</f>
        <v>-2.0120600000000061E-2</v>
      </c>
      <c r="O475" s="183">
        <f t="shared" si="991"/>
        <v>-9.7726717420213056E-3</v>
      </c>
      <c r="P475" s="182" t="b">
        <f t="shared" ref="P475" si="1192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93">I475-R475</f>
        <v>84729.229999999981</v>
      </c>
      <c r="T475" s="173">
        <v>-47786</v>
      </c>
      <c r="U475" s="173">
        <f t="shared" ref="U475" si="1194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95">O475/W475</f>
        <v>-3.1590807569428198E-2</v>
      </c>
      <c r="Y475" s="807">
        <f t="shared" ref="Y475:Y538" si="1196">-(E475-N475)</f>
        <v>-0.19261541554764938</v>
      </c>
    </row>
    <row r="476" spans="1:25" ht="20.100000000000001" customHeight="1" x14ac:dyDescent="0.25">
      <c r="A476" s="163">
        <f t="shared" si="922"/>
        <v>753</v>
      </c>
      <c r="B476" s="172">
        <v>42986</v>
      </c>
      <c r="C476" s="215">
        <v>2461.4299999999998</v>
      </c>
      <c r="D476" s="171">
        <f t="shared" ref="D476" si="1197">(C476-C475)/C475</f>
        <v>-1.4887834164942894E-3</v>
      </c>
      <c r="E476" s="209">
        <f t="shared" ref="E476" si="1198">(C476-$C$2)/$C$2</f>
        <v>0.17074922471033646</v>
      </c>
      <c r="F476" s="219">
        <v>6360.39</v>
      </c>
      <c r="G476" s="171">
        <f t="shared" ref="G476" si="1199">(F476-F475)/F475</f>
        <v>-5.8566458159446041E-3</v>
      </c>
      <c r="H476" s="203">
        <f t="shared" ref="H476" si="1200">(F476-F$2)/F$2</f>
        <v>0.24916825421764843</v>
      </c>
      <c r="I476" s="221">
        <v>335342.87</v>
      </c>
      <c r="J476" s="173">
        <v>350000</v>
      </c>
      <c r="K476" s="173">
        <f t="shared" ref="K476" si="1201">I476-I475-J476+J475</f>
        <v>-7614.9199999999837</v>
      </c>
      <c r="L476" s="171">
        <f t="shared" ref="L476" si="1202">K476/I475</f>
        <v>-2.2203665354853099E-2</v>
      </c>
      <c r="M476" s="182">
        <f t="shared" ref="M476" si="1203">I476-J476</f>
        <v>-14657.130000000005</v>
      </c>
      <c r="N476" s="184">
        <f t="shared" ref="N476" si="1204">M476/J476</f>
        <v>-4.1877514285714297E-2</v>
      </c>
      <c r="O476" s="183">
        <f t="shared" si="991"/>
        <v>-2.0313097068867393E-2</v>
      </c>
      <c r="P476" s="182" t="b">
        <f t="shared" ref="P476" si="1205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206">I476-R476</f>
        <v>85352.239999999991</v>
      </c>
      <c r="T476" s="173">
        <v>-54714</v>
      </c>
      <c r="U476" s="173">
        <f t="shared" ref="U476" si="1207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95"/>
        <v>-6.5640243827316494E-2</v>
      </c>
      <c r="Y476" s="807">
        <f t="shared" si="1196"/>
        <v>-0.21262673899605075</v>
      </c>
    </row>
    <row r="477" spans="1:25" ht="20.100000000000001" customHeight="1" x14ac:dyDescent="0.25">
      <c r="A477" s="163">
        <f t="shared" si="922"/>
        <v>756</v>
      </c>
      <c r="B477" s="172">
        <v>42989</v>
      </c>
      <c r="C477" s="215">
        <v>2488.11</v>
      </c>
      <c r="D477" s="171">
        <f t="shared" ref="D477" si="1208">(C477-C476)/C476</f>
        <v>1.0839227603466397E-2</v>
      </c>
      <c r="E477" s="209">
        <f t="shared" ref="E477" si="1209">(C477-$C$2)/$C$2</f>
        <v>0.18343924202355361</v>
      </c>
      <c r="F477" s="219">
        <v>6432.26</v>
      </c>
      <c r="G477" s="171">
        <f t="shared" ref="G477" si="1210">(F477-F476)/F476</f>
        <v>1.1299621564086461E-2</v>
      </c>
      <c r="H477" s="203">
        <f t="shared" ref="H477" si="1211">(F477-F$2)/F$2</f>
        <v>0.26328338276017843</v>
      </c>
      <c r="I477" s="221">
        <v>339751.59</v>
      </c>
      <c r="J477" s="173">
        <v>350000</v>
      </c>
      <c r="K477" s="173">
        <f t="shared" ref="K477" si="1212">I477-I476-J477+J476</f>
        <v>4408.7200000000303</v>
      </c>
      <c r="L477" s="171">
        <f t="shared" ref="L477" si="1213">K477/I476</f>
        <v>1.3146902452406489E-2</v>
      </c>
      <c r="M477" s="182">
        <f t="shared" ref="M477" si="1214">I477-J477</f>
        <v>-10248.409999999974</v>
      </c>
      <c r="N477" s="184">
        <f t="shared" ref="N477" si="1215">M477/J477</f>
        <v>-2.9281171428571354E-2</v>
      </c>
      <c r="O477" s="183">
        <f t="shared" si="991"/>
        <v>-1.4146756434240326E-2</v>
      </c>
      <c r="P477" s="182" t="b">
        <f t="shared" ref="P477" si="1216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17">I477-R477</f>
        <v>96033.47000000003</v>
      </c>
      <c r="T477" s="173">
        <v>-52678</v>
      </c>
      <c r="U477" s="173">
        <f t="shared" ref="U477" si="1218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95"/>
        <v>-4.574146736857939E-2</v>
      </c>
      <c r="Y477" s="807">
        <f t="shared" si="1196"/>
        <v>-0.21272041345212495</v>
      </c>
    </row>
    <row r="478" spans="1:25" ht="20.100000000000001" customHeight="1" x14ac:dyDescent="0.25">
      <c r="A478" s="163">
        <f t="shared" si="922"/>
        <v>757</v>
      </c>
      <c r="B478" s="172">
        <v>42990</v>
      </c>
      <c r="C478" s="215">
        <v>2496.48</v>
      </c>
      <c r="D478" s="171">
        <f t="shared" ref="D478" si="1219">(C478-C477)/C477</f>
        <v>3.3639991801005143E-3</v>
      </c>
      <c r="E478" s="209">
        <f t="shared" ref="E478" si="1220">(C478-$C$2)/$C$2</f>
        <v>0.18742033066341962</v>
      </c>
      <c r="F478" s="219">
        <v>6454.28</v>
      </c>
      <c r="G478" s="171">
        <f t="shared" ref="G478" si="1221">(F478-F477)/F477</f>
        <v>3.4233690802298921E-3</v>
      </c>
      <c r="H478" s="203">
        <f t="shared" ref="H478" si="1222">(F478-F$2)/F$2</f>
        <v>0.26760806803228782</v>
      </c>
      <c r="I478" s="221">
        <v>342729.25</v>
      </c>
      <c r="J478" s="173">
        <v>350000</v>
      </c>
      <c r="K478" s="173">
        <f t="shared" ref="K478" si="1223">I478-I477-J478+J477</f>
        <v>2977.6599999999744</v>
      </c>
      <c r="L478" s="171">
        <f t="shared" ref="L478" si="1224">K478/I477</f>
        <v>8.7642268281951947E-3</v>
      </c>
      <c r="M478" s="182">
        <f t="shared" ref="M478" si="1225">I478-J478</f>
        <v>-7270.75</v>
      </c>
      <c r="N478" s="184">
        <f t="shared" ref="N478" si="1226">M478/J478</f>
        <v>-2.0773571428571429E-2</v>
      </c>
      <c r="O478" s="183">
        <f t="shared" si="991"/>
        <v>-1.0023179609360257E-2</v>
      </c>
      <c r="P478" s="182" t="b">
        <f t="shared" ref="P478" si="1227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8">I478-R478</f>
        <v>99441.390000000014</v>
      </c>
      <c r="T478" s="173">
        <v>-50978</v>
      </c>
      <c r="U478" s="173">
        <f t="shared" ref="U478" si="1229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95"/>
        <v>-3.2436223015335816E-2</v>
      </c>
      <c r="Y478" s="807">
        <f t="shared" si="1196"/>
        <v>-0.20819390209199104</v>
      </c>
    </row>
    <row r="479" spans="1:25" ht="20.100000000000001" customHeight="1" x14ac:dyDescent="0.25">
      <c r="A479" s="163">
        <f t="shared" si="922"/>
        <v>758</v>
      </c>
      <c r="B479" s="172">
        <v>42991</v>
      </c>
      <c r="C479" s="215">
        <v>2498.37</v>
      </c>
      <c r="D479" s="171">
        <f t="shared" ref="D479" si="1230">(C479-C478)/C478</f>
        <v>7.5706594885593817E-4</v>
      </c>
      <c r="E479" s="209">
        <f t="shared" ref="E479" si="1231">(C479-$C$2)/$C$2</f>
        <v>0.18831928616274415</v>
      </c>
      <c r="F479" s="219">
        <v>6460.18</v>
      </c>
      <c r="G479" s="171">
        <f t="shared" ref="G479" si="1232">(F479-F478)/F478</f>
        <v>9.1412210192314957E-4</v>
      </c>
      <c r="H479" s="203">
        <f t="shared" ref="H479" si="1233">(F479-F$2)/F$2</f>
        <v>0.26876681658385226</v>
      </c>
      <c r="I479" s="221">
        <v>346163.11</v>
      </c>
      <c r="J479" s="173">
        <v>350000</v>
      </c>
      <c r="K479" s="173">
        <f t="shared" ref="K479" si="1234">I479-I478-J479+J478</f>
        <v>3433.859999999986</v>
      </c>
      <c r="L479" s="171">
        <f t="shared" ref="L479" si="1235">K479/I478</f>
        <v>1.0019162356291404E-2</v>
      </c>
      <c r="M479" s="182">
        <f t="shared" ref="M479" si="1236">I479-J479</f>
        <v>-3836.890000000014</v>
      </c>
      <c r="N479" s="184">
        <f t="shared" ref="N479" si="1237">M479/J479</f>
        <v>-1.0962542857142897E-2</v>
      </c>
      <c r="O479" s="183">
        <f t="shared" si="991"/>
        <v>-5.2824126366377878E-3</v>
      </c>
      <c r="P479" s="182" t="b">
        <f t="shared" ref="P479" si="1238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9">I479-R479</f>
        <v>109362.65999999997</v>
      </c>
      <c r="T479" s="173">
        <v>-48114</v>
      </c>
      <c r="U479" s="173">
        <f t="shared" ref="U479" si="1240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95"/>
        <v>-1.7108057085203882E-2</v>
      </c>
      <c r="Y479" s="807">
        <f t="shared" si="1196"/>
        <v>-0.19928182901988706</v>
      </c>
    </row>
    <row r="480" spans="1:25" ht="20.100000000000001" customHeight="1" x14ac:dyDescent="0.25">
      <c r="A480" s="163">
        <f t="shared" si="922"/>
        <v>759</v>
      </c>
      <c r="B480" s="172">
        <v>42992</v>
      </c>
      <c r="C480" s="215">
        <v>2495.62</v>
      </c>
      <c r="D480" s="171">
        <f t="shared" ref="D480" si="1241">(C480-C479)/C479</f>
        <v>-1.1007176679194836E-3</v>
      </c>
      <c r="E480" s="209">
        <f t="shared" ref="E480" si="1242">(C480-$C$2)/$C$2</f>
        <v>0.18701128212933535</v>
      </c>
      <c r="F480" s="219">
        <v>6429.08</v>
      </c>
      <c r="G480" s="171">
        <f t="shared" ref="G480" si="1243">(F480-F479)/F479</f>
        <v>-4.8141073468541684E-3</v>
      </c>
      <c r="H480" s="203">
        <f t="shared" ref="H480" si="1244">(F480-F$2)/F$2</f>
        <v>0.26265883693069114</v>
      </c>
      <c r="I480" s="221">
        <v>344939.43</v>
      </c>
      <c r="J480" s="173">
        <v>350000</v>
      </c>
      <c r="K480" s="173">
        <f t="shared" ref="K480" si="1245">I480-I479-J480+J479</f>
        <v>-1223.679999999993</v>
      </c>
      <c r="L480" s="171">
        <f t="shared" ref="L480" si="1246">K480/I479</f>
        <v>-3.5349809516097572E-3</v>
      </c>
      <c r="M480" s="182">
        <f t="shared" ref="M480" si="1247">I480-J480</f>
        <v>-5060.570000000007</v>
      </c>
      <c r="N480" s="184">
        <f t="shared" ref="N480" si="1248">M480/J480</f>
        <v>-1.4458771428571448E-2</v>
      </c>
      <c r="O480" s="183">
        <f t="shared" si="991"/>
        <v>-6.9579265669113587E-3</v>
      </c>
      <c r="P480" s="182" t="b">
        <f t="shared" ref="P480" si="1249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50">I480-R480</f>
        <v>109362.66</v>
      </c>
      <c r="T480" s="173">
        <v>-48830</v>
      </c>
      <c r="U480" s="173">
        <f t="shared" ref="U480" si="1251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95"/>
        <v>-2.2557231029071877E-2</v>
      </c>
      <c r="Y480" s="807">
        <f t="shared" si="1196"/>
        <v>-0.20147005355790679</v>
      </c>
    </row>
    <row r="481" spans="1:25" ht="20.100000000000001" customHeight="1" x14ac:dyDescent="0.25">
      <c r="A481" s="163">
        <f t="shared" si="922"/>
        <v>760</v>
      </c>
      <c r="B481" s="172">
        <v>42993</v>
      </c>
      <c r="C481" s="215">
        <v>2500.23</v>
      </c>
      <c r="D481" s="171">
        <f t="shared" ref="D481" si="1252">(C481-C480)/C480</f>
        <v>1.8472363580994413E-3</v>
      </c>
      <c r="E481" s="209">
        <f t="shared" ref="E481" si="1253">(C481-$C$2)/$C$2</f>
        <v>0.1892039725271589</v>
      </c>
      <c r="F481" s="219">
        <v>6448.66</v>
      </c>
      <c r="G481" s="171">
        <f t="shared" ref="G481" si="1254">(F481-F480)/F480</f>
        <v>3.0455368419742682E-3</v>
      </c>
      <c r="H481" s="203">
        <f t="shared" ref="H481" si="1255">(F481-F$2)/F$2</f>
        <v>0.26650431093740795</v>
      </c>
      <c r="I481" s="221">
        <v>346855.18</v>
      </c>
      <c r="J481" s="173">
        <v>350000</v>
      </c>
      <c r="K481" s="173">
        <f t="shared" ref="K481" si="1256">I481-I480-J481+J480</f>
        <v>1915.75</v>
      </c>
      <c r="L481" s="171">
        <f t="shared" ref="L481" si="1257">K481/I480</f>
        <v>5.5538736177537023E-3</v>
      </c>
      <c r="M481" s="182">
        <f t="shared" ref="M481" si="1258">I481-J481</f>
        <v>-3144.820000000007</v>
      </c>
      <c r="N481" s="184">
        <f t="shared" ref="N481" si="1259">M481/J481</f>
        <v>-8.9852000000000196E-3</v>
      </c>
      <c r="O481" s="183">
        <f t="shared" si="991"/>
        <v>-4.3182161842105363E-3</v>
      </c>
      <c r="P481" s="182" t="b">
        <f t="shared" ref="P481" si="1260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61">I481-R481</f>
        <v>102716.56</v>
      </c>
      <c r="T481" s="173">
        <v>-47636</v>
      </c>
      <c r="U481" s="173">
        <f t="shared" ref="U481" si="1262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95"/>
        <v>-1.4013040194897561E-2</v>
      </c>
      <c r="Y481" s="807">
        <f t="shared" si="1196"/>
        <v>-0.19818917252715892</v>
      </c>
    </row>
    <row r="482" spans="1:25" ht="20.100000000000001" customHeight="1" x14ac:dyDescent="0.25">
      <c r="A482" s="163">
        <f t="shared" si="922"/>
        <v>763</v>
      </c>
      <c r="B482" s="172">
        <v>42996</v>
      </c>
      <c r="C482" s="215">
        <v>2503.87</v>
      </c>
      <c r="D482" s="171">
        <f t="shared" ref="D482" si="1263">(C482-C481)/C481</f>
        <v>1.4558660603223993E-3</v>
      </c>
      <c r="E482" s="209">
        <f t="shared" ref="E482" si="1264">(C482-$C$2)/$C$2</f>
        <v>0.19093529422956176</v>
      </c>
      <c r="F482" s="219">
        <v>6454.63</v>
      </c>
      <c r="G482" s="171">
        <f t="shared" ref="G482" si="1265">(F482-F481)/F481</f>
        <v>9.2577372663472024E-4</v>
      </c>
      <c r="H482" s="203">
        <f t="shared" ref="H482" si="1266">(F482-F$2)/F$2</f>
        <v>0.26767680735314342</v>
      </c>
      <c r="I482" s="221">
        <v>347277.37</v>
      </c>
      <c r="J482" s="173">
        <v>350000</v>
      </c>
      <c r="K482" s="173">
        <f t="shared" ref="K482" si="1267">I482-I481-J482+J481</f>
        <v>422.19000000000233</v>
      </c>
      <c r="L482" s="171">
        <f t="shared" ref="L482" si="1268">K482/I481</f>
        <v>1.217193873247049E-3</v>
      </c>
      <c r="M482" s="182">
        <f t="shared" ref="M482" si="1269">I482-J482</f>
        <v>-2722.6300000000047</v>
      </c>
      <c r="N482" s="184">
        <f t="shared" ref="N482" si="1270">M482/J482</f>
        <v>-7.7789428571428702E-3</v>
      </c>
      <c r="O482" s="183">
        <f t="shared" si="991"/>
        <v>-3.7237993166073834E-3</v>
      </c>
      <c r="P482" s="182" t="b">
        <f t="shared" ref="P482" si="1271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72">I482-R482</f>
        <v>101670.94999999998</v>
      </c>
      <c r="T482" s="173">
        <v>-47720</v>
      </c>
      <c r="U482" s="173">
        <f t="shared" ref="U482" si="1273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95"/>
        <v>-1.2096706911903963E-2</v>
      </c>
      <c r="Y482" s="807">
        <f t="shared" si="1196"/>
        <v>-0.19871423708670463</v>
      </c>
    </row>
    <row r="483" spans="1:25" ht="20.100000000000001" customHeight="1" x14ac:dyDescent="0.25">
      <c r="A483" s="163">
        <f t="shared" si="922"/>
        <v>764</v>
      </c>
      <c r="B483" s="172">
        <v>42997</v>
      </c>
      <c r="C483" s="215">
        <v>2506.65</v>
      </c>
      <c r="D483" s="171">
        <f t="shared" ref="D483" si="1274">(C483-C482)/C482</f>
        <v>1.1102812845715632E-3</v>
      </c>
      <c r="E483" s="209">
        <f t="shared" ref="E483" si="1275">(C483-$C$2)/$C$2</f>
        <v>0.19225756739788058</v>
      </c>
      <c r="F483" s="219">
        <v>6461.32</v>
      </c>
      <c r="G483" s="171">
        <f t="shared" ref="G483" si="1276">(F483-F482)/F482</f>
        <v>1.036465297003794E-3</v>
      </c>
      <c r="H483" s="203">
        <f t="shared" ref="H483" si="1277">(F483-F$2)/F$2</f>
        <v>0.26899071037178152</v>
      </c>
      <c r="I483" s="221">
        <v>345709.56</v>
      </c>
      <c r="J483" s="173">
        <v>350000</v>
      </c>
      <c r="K483" s="173">
        <f t="shared" ref="K483" si="1278">I483-I482-J483+J482</f>
        <v>-1567.8099999999977</v>
      </c>
      <c r="L483" s="171">
        <f t="shared" ref="L483" si="1279">K483/I482</f>
        <v>-4.5145757697946098E-3</v>
      </c>
      <c r="M483" s="182">
        <f t="shared" ref="M483" si="1280">I483-J483</f>
        <v>-4290.4400000000023</v>
      </c>
      <c r="N483" s="184">
        <f t="shared" ref="N483" si="1281">M483/J483</f>
        <v>-1.2258400000000006E-2</v>
      </c>
      <c r="O483" s="183">
        <f t="shared" si="991"/>
        <v>-5.8604458115183271E-3</v>
      </c>
      <c r="P483" s="182" t="b">
        <f t="shared" ref="P483" si="1282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83">I483-R483</f>
        <v>99467.32</v>
      </c>
      <c r="T483" s="173">
        <v>-48500</v>
      </c>
      <c r="U483" s="173">
        <f t="shared" ref="U483" si="1284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95"/>
        <v>-1.9056183238630692E-2</v>
      </c>
      <c r="Y483" s="807">
        <f t="shared" si="1196"/>
        <v>-0.20451596739788058</v>
      </c>
    </row>
    <row r="484" spans="1:25" ht="20.100000000000001" customHeight="1" x14ac:dyDescent="0.25">
      <c r="A484" s="163">
        <f t="shared" si="922"/>
        <v>765</v>
      </c>
      <c r="B484" s="172">
        <v>42998</v>
      </c>
      <c r="C484" s="215">
        <v>2508.2399999999998</v>
      </c>
      <c r="D484" s="171">
        <f t="shared" ref="D484:D490" si="1285">(C484-C483)/C483</f>
        <v>6.3431272814301587E-4</v>
      </c>
      <c r="E484" s="209">
        <f t="shared" ref="E484" si="1286">(C484-$C$2)/$C$2</f>
        <v>0.19301383154810586</v>
      </c>
      <c r="F484" s="219">
        <v>6456.04</v>
      </c>
      <c r="G484" s="171">
        <f t="shared" ref="G484:G490" si="1287">(F484-F483)/F483</f>
        <v>-8.1717048528779659E-4</v>
      </c>
      <c r="H484" s="203">
        <f t="shared" ref="H484:H489" si="1288">(F484-F$2)/F$2</f>
        <v>0.26795372861716132</v>
      </c>
      <c r="I484" s="221">
        <v>347542.31</v>
      </c>
      <c r="J484" s="173">
        <v>350000</v>
      </c>
      <c r="K484" s="173">
        <f t="shared" ref="K484:K489" si="1289">I484-I483-J484+J483</f>
        <v>1832.75</v>
      </c>
      <c r="L484" s="171">
        <f t="shared" ref="L484:L489" si="1290">K484/I483</f>
        <v>5.3014154424887759E-3</v>
      </c>
      <c r="M484" s="182">
        <f t="shared" ref="M484" si="1291">I484-J484</f>
        <v>-2457.6900000000023</v>
      </c>
      <c r="N484" s="184">
        <f t="shared" ref="N484" si="1292">M484/J484</f>
        <v>-7.0219714285714354E-3</v>
      </c>
      <c r="O484" s="183">
        <f t="shared" si="991"/>
        <v>-3.3526471428571456E-3</v>
      </c>
      <c r="P484" s="182" t="b">
        <f t="shared" ref="P484" si="1293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94">I484-R484</f>
        <v>85573.22</v>
      </c>
      <c r="T484" s="173">
        <v>-45800</v>
      </c>
      <c r="U484" s="173">
        <f t="shared" ref="U484" si="1295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95"/>
        <v>-1.0912278565449038E-2</v>
      </c>
      <c r="Y484" s="807">
        <f t="shared" si="1196"/>
        <v>-0.20003580297667731</v>
      </c>
    </row>
    <row r="485" spans="1:25" ht="20.100000000000001" customHeight="1" x14ac:dyDescent="0.25">
      <c r="A485" s="163">
        <f t="shared" si="922"/>
        <v>766</v>
      </c>
      <c r="B485" s="172">
        <v>42999</v>
      </c>
      <c r="C485" s="215">
        <v>2500.6</v>
      </c>
      <c r="D485" s="171">
        <f t="shared" si="1285"/>
        <v>-3.0459605141453265E-3</v>
      </c>
      <c r="E485" s="209">
        <f t="shared" ref="E485" si="1296">(C485-$C$2)/$C$2</f>
        <v>0.18937995852438111</v>
      </c>
      <c r="F485" s="219">
        <v>6422.69</v>
      </c>
      <c r="G485" s="171">
        <f t="shared" si="1287"/>
        <v>-5.1657052930279808E-3</v>
      </c>
      <c r="H485" s="203">
        <f t="shared" si="1288"/>
        <v>0.26140385332992905</v>
      </c>
      <c r="I485" s="221">
        <v>348466.58</v>
      </c>
      <c r="J485" s="173">
        <v>350000</v>
      </c>
      <c r="K485" s="173">
        <f t="shared" si="1289"/>
        <v>924.27000000001863</v>
      </c>
      <c r="L485" s="171">
        <f t="shared" si="1290"/>
        <v>2.6594459822748447E-3</v>
      </c>
      <c r="M485" s="182">
        <f t="shared" ref="M485" si="1297">I485-J485</f>
        <v>-1533.4199999999837</v>
      </c>
      <c r="N485" s="184">
        <f t="shared" ref="N485" si="1298">M485/J485</f>
        <v>-4.3811999999999532E-3</v>
      </c>
      <c r="O485" s="183">
        <f t="shared" si="991"/>
        <v>-2.0890774151435805E-3</v>
      </c>
      <c r="P485" s="182" t="b">
        <f t="shared" ref="P485" si="1299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300">I485-R485</f>
        <v>81523.22000000003</v>
      </c>
      <c r="T485" s="173">
        <v>-44486</v>
      </c>
      <c r="U485" s="173">
        <f t="shared" ref="U485:U486" si="1301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95"/>
        <v>-6.8065447976934489E-3</v>
      </c>
      <c r="Y485" s="807">
        <f t="shared" si="1196"/>
        <v>-0.19376115852438106</v>
      </c>
    </row>
    <row r="486" spans="1:25" ht="20.100000000000001" customHeight="1" x14ac:dyDescent="0.25">
      <c r="A486" s="163">
        <f t="shared" si="922"/>
        <v>767</v>
      </c>
      <c r="B486" s="172">
        <v>43000</v>
      </c>
      <c r="C486" s="215">
        <v>2502.2199999999998</v>
      </c>
      <c r="D486" s="171">
        <f t="shared" si="1285"/>
        <v>6.4784451731580062E-4</v>
      </c>
      <c r="E486" s="209">
        <f t="shared" ref="E486" si="1302">(C486-$C$2)/$C$2</f>
        <v>0.19015049180951643</v>
      </c>
      <c r="F486" s="219">
        <v>6426.92</v>
      </c>
      <c r="G486" s="171">
        <f t="shared" si="1287"/>
        <v>6.586025481535732E-4</v>
      </c>
      <c r="H486" s="203">
        <f t="shared" si="1288"/>
        <v>0.26223461712198287</v>
      </c>
      <c r="I486" s="221">
        <v>349263.92</v>
      </c>
      <c r="J486" s="173">
        <v>350000</v>
      </c>
      <c r="K486" s="173">
        <f t="shared" si="1289"/>
        <v>797.3399999999674</v>
      </c>
      <c r="L486" s="171">
        <f t="shared" si="1290"/>
        <v>2.2881390806543554E-3</v>
      </c>
      <c r="M486" s="182">
        <f t="shared" ref="M486" si="1303">I486-J486</f>
        <v>-736.0800000000163</v>
      </c>
      <c r="N486" s="184">
        <f t="shared" ref="N486" si="1304">M486/J486</f>
        <v>-2.1030857142857609E-3</v>
      </c>
      <c r="O486" s="183">
        <f t="shared" si="991"/>
        <v>-1.0015020301732387E-3</v>
      </c>
      <c r="P486" s="182" t="b">
        <f t="shared" ref="P486" si="1305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306">I486-R486</f>
        <v>94552.919999999984</v>
      </c>
      <c r="T486" s="173">
        <v>-44478</v>
      </c>
      <c r="U486" s="173">
        <f t="shared" si="1301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95"/>
        <v>-3.2664015031647043E-3</v>
      </c>
      <c r="Y486" s="807">
        <f t="shared" si="1196"/>
        <v>-0.1922535775238022</v>
      </c>
    </row>
    <row r="487" spans="1:25" ht="20.100000000000001" customHeight="1" x14ac:dyDescent="0.25">
      <c r="A487" s="163">
        <f t="shared" si="922"/>
        <v>768</v>
      </c>
      <c r="B487" s="172">
        <v>43001</v>
      </c>
      <c r="C487" s="215">
        <v>2496.66</v>
      </c>
      <c r="D487" s="171">
        <f t="shared" si="1285"/>
        <v>-2.222026840165911E-3</v>
      </c>
      <c r="E487" s="209">
        <f t="shared" ref="E487" si="1307">(C487-$C$2)/$C$2</f>
        <v>0.18750594547287902</v>
      </c>
      <c r="F487" s="219">
        <v>6370.59</v>
      </c>
      <c r="G487" s="171">
        <f t="shared" si="1287"/>
        <v>-8.764695997460669E-3</v>
      </c>
      <c r="H487" s="203">
        <f t="shared" si="1288"/>
        <v>0.25117151442543756</v>
      </c>
      <c r="I487" s="221">
        <v>353035.89</v>
      </c>
      <c r="J487" s="173">
        <v>350000</v>
      </c>
      <c r="K487" s="173">
        <f t="shared" si="1289"/>
        <v>3771.9700000000303</v>
      </c>
      <c r="L487" s="171">
        <f t="shared" si="1290"/>
        <v>1.0799769984829897E-2</v>
      </c>
      <c r="M487" s="182">
        <f t="shared" ref="M487" si="1308">I487-J487</f>
        <v>3035.890000000014</v>
      </c>
      <c r="N487" s="184">
        <f t="shared" ref="N487" si="1309">M487/J487</f>
        <v>8.6739714285714691E-3</v>
      </c>
      <c r="O487" s="183">
        <f t="shared" si="991"/>
        <v>4.1252188337053764E-3</v>
      </c>
      <c r="P487" s="182" t="b">
        <f t="shared" ref="P487" si="1310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11">I487-R487</f>
        <v>94552.920000000013</v>
      </c>
      <c r="T487" s="173">
        <v>-44802</v>
      </c>
      <c r="U487" s="173">
        <f t="shared" ref="U487" si="1312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95"/>
        <v>1.3464270197226024E-2</v>
      </c>
      <c r="Y487" s="807">
        <f t="shared" si="1196"/>
        <v>-0.17883197404430756</v>
      </c>
    </row>
    <row r="488" spans="1:25" ht="20.100000000000001" customHeight="1" x14ac:dyDescent="0.25">
      <c r="A488" s="163">
        <f t="shared" si="922"/>
        <v>771</v>
      </c>
      <c r="B488" s="172">
        <v>43004</v>
      </c>
      <c r="C488" s="215">
        <v>2496.84</v>
      </c>
      <c r="D488" s="171">
        <f t="shared" si="1285"/>
        <v>7.2096320684550985E-5</v>
      </c>
      <c r="E488" s="209">
        <f t="shared" ref="E488" si="1313">(C488-$C$2)/$C$2</f>
        <v>0.18759156028233864</v>
      </c>
      <c r="F488" s="219">
        <v>6380.16</v>
      </c>
      <c r="G488" s="171">
        <f t="shared" si="1287"/>
        <v>1.5022156503557299E-3</v>
      </c>
      <c r="H488" s="203">
        <f t="shared" si="1288"/>
        <v>0.25305104385568672</v>
      </c>
      <c r="I488" s="221">
        <v>354979.17</v>
      </c>
      <c r="J488" s="173">
        <v>350000</v>
      </c>
      <c r="K488" s="173">
        <f t="shared" si="1289"/>
        <v>1943.2799999999697</v>
      </c>
      <c r="L488" s="171">
        <f t="shared" si="1290"/>
        <v>5.5044828445061766E-3</v>
      </c>
      <c r="M488" s="182">
        <f t="shared" ref="M488" si="1314">I488-J488</f>
        <v>4979.1699999999837</v>
      </c>
      <c r="N488" s="184">
        <f t="shared" ref="N488" si="1315">M488/J488</f>
        <v>1.4226199999999953E-2</v>
      </c>
      <c r="O488" s="183">
        <f t="shared" si="991"/>
        <v>6.7394546692606779E-3</v>
      </c>
      <c r="P488" s="182" t="b">
        <f t="shared" ref="P488" si="1316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17">I488-R488</f>
        <v>98518.829999999987</v>
      </c>
      <c r="T488" s="173">
        <v>-44286</v>
      </c>
      <c r="U488" s="173">
        <f t="shared" ref="U488" si="1318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95"/>
        <v>2.2017968039975806E-2</v>
      </c>
      <c r="Y488" s="807">
        <f t="shared" si="1196"/>
        <v>-0.17336536028233868</v>
      </c>
    </row>
    <row r="489" spans="1:25" ht="20.100000000000001" customHeight="1" x14ac:dyDescent="0.25">
      <c r="A489" s="163">
        <f t="shared" si="922"/>
        <v>772</v>
      </c>
      <c r="B489" s="172">
        <v>43005</v>
      </c>
      <c r="C489" s="215">
        <v>2507.2399999999998</v>
      </c>
      <c r="D489" s="171">
        <f t="shared" si="1285"/>
        <v>4.1652648948269158E-3</v>
      </c>
      <c r="E489" s="209">
        <f t="shared" ref="E489" si="1319">(C489-$C$2)/$C$2</f>
        <v>0.19253819371777539</v>
      </c>
      <c r="F489" s="219">
        <v>6453.26</v>
      </c>
      <c r="G489" s="171">
        <f t="shared" si="1287"/>
        <v>1.1457392918045999E-2</v>
      </c>
      <c r="H489" s="203">
        <f t="shared" si="1288"/>
        <v>0.26740774201150902</v>
      </c>
      <c r="I489" s="221">
        <v>358361.96</v>
      </c>
      <c r="J489" s="173">
        <v>350000</v>
      </c>
      <c r="K489" s="173">
        <f t="shared" si="1289"/>
        <v>3382.7900000000373</v>
      </c>
      <c r="L489" s="171">
        <f t="shared" si="1290"/>
        <v>9.5295450716165603E-3</v>
      </c>
      <c r="M489" s="182">
        <f t="shared" ref="M489" si="1320">I489-J489</f>
        <v>8361.960000000021</v>
      </c>
      <c r="N489" s="184">
        <f t="shared" ref="N489" si="1321">M489/J489</f>
        <v>2.3891314285714345E-2</v>
      </c>
      <c r="O489" s="183">
        <f t="shared" si="991"/>
        <v>1.1303500703182855E-2</v>
      </c>
      <c r="P489" s="182" t="b">
        <f t="shared" ref="P489" si="1322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23">I489-R489</f>
        <v>114852.25000000003</v>
      </c>
      <c r="T489" s="173">
        <v>-44153</v>
      </c>
      <c r="U489" s="173">
        <f t="shared" ref="U489" si="1324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95"/>
        <v>3.6958335875091897E-2</v>
      </c>
      <c r="Y489" s="807">
        <f t="shared" si="1196"/>
        <v>-0.16864687943206105</v>
      </c>
    </row>
    <row r="490" spans="1:25" ht="20.100000000000001" customHeight="1" x14ac:dyDescent="0.25">
      <c r="A490" s="163">
        <f t="shared" si="922"/>
        <v>773</v>
      </c>
      <c r="B490" s="172">
        <v>43006</v>
      </c>
      <c r="C490" s="215">
        <v>2510.06</v>
      </c>
      <c r="D490" s="171">
        <f t="shared" si="1285"/>
        <v>1.1247427450105151E-3</v>
      </c>
      <c r="E490" s="209">
        <f t="shared" ref="E490" si="1325">(C490-$C$2)/$C$2</f>
        <v>0.19387949239930741</v>
      </c>
      <c r="F490" s="219">
        <v>6453.45</v>
      </c>
      <c r="G490" s="171">
        <f t="shared" si="1287"/>
        <v>2.9442483333942816E-5</v>
      </c>
      <c r="H490" s="203">
        <f t="shared" ref="H490" si="1326">(F490-F$2)/F$2</f>
        <v>0.2674450576428305</v>
      </c>
      <c r="I490" s="221">
        <v>356533.28</v>
      </c>
      <c r="J490" s="173">
        <v>350000</v>
      </c>
      <c r="K490" s="173">
        <f t="shared" ref="K490" si="1327">I490-I489-J490+J489</f>
        <v>-1828.679999999993</v>
      </c>
      <c r="L490" s="171">
        <f t="shared" ref="L490" si="1328">K490/I489</f>
        <v>-5.1028853620512429E-3</v>
      </c>
      <c r="M490" s="182">
        <f t="shared" ref="M490" si="1329">I490-J490</f>
        <v>6533.2800000000279</v>
      </c>
      <c r="N490" s="184">
        <f t="shared" ref="N490" si="1330">M490/J490</f>
        <v>1.8666514285714364E-2</v>
      </c>
      <c r="O490" s="183">
        <f t="shared" si="991"/>
        <v>8.8201091110700798E-3</v>
      </c>
      <c r="P490" s="182" t="b">
        <f t="shared" ref="P490" si="1331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32">I490-R490</f>
        <v>110835.00000000003</v>
      </c>
      <c r="T490" s="173">
        <v>-44103</v>
      </c>
      <c r="U490" s="173">
        <f t="shared" ref="U490" si="1333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95"/>
        <v>2.8865774978625563E-2</v>
      </c>
      <c r="Y490" s="807">
        <f t="shared" si="1196"/>
        <v>-0.17521297811359304</v>
      </c>
    </row>
    <row r="491" spans="1:25" ht="20.100000000000001" customHeight="1" x14ac:dyDescent="0.25">
      <c r="A491" s="163">
        <f t="shared" si="922"/>
        <v>774</v>
      </c>
      <c r="B491" s="172">
        <v>43007</v>
      </c>
      <c r="C491" s="215">
        <v>2519.36</v>
      </c>
      <c r="D491" s="171">
        <f t="shared" ref="D491" si="1334">(C491-C490)/C490</f>
        <v>3.7050907149630613E-3</v>
      </c>
      <c r="E491" s="209">
        <f t="shared" ref="E491" si="1335">(C491-$C$2)/$C$2</f>
        <v>0.19830292422138091</v>
      </c>
      <c r="F491" s="219">
        <v>6495.95</v>
      </c>
      <c r="G491" s="171">
        <f t="shared" ref="G491" si="1336">(F491-F490)/F490</f>
        <v>6.5856247433543303E-3</v>
      </c>
      <c r="H491" s="203">
        <f t="shared" ref="H491" si="1337">(F491-F$2)/F$2</f>
        <v>0.27579197517528525</v>
      </c>
      <c r="I491" s="472">
        <v>356859.34</v>
      </c>
      <c r="J491" s="173">
        <v>350000</v>
      </c>
      <c r="K491" s="173">
        <f t="shared" ref="K491" si="1338">I491-I490-J491+J490</f>
        <v>326.05999999999767</v>
      </c>
      <c r="L491" s="171">
        <f t="shared" ref="L491" si="1339">K491/I490</f>
        <v>9.1452893261464302E-4</v>
      </c>
      <c r="M491" s="472">
        <f t="shared" ref="M491" si="1340">I491-J491</f>
        <v>6859.3400000000256</v>
      </c>
      <c r="N491" s="184">
        <f t="shared" ref="N491" si="1341">M491/J491</f>
        <v>1.9598114285714358E-2</v>
      </c>
      <c r="O491" s="183">
        <f t="shared" si="991"/>
        <v>9.2483349390919505E-3</v>
      </c>
      <c r="P491" s="182" t="b">
        <f t="shared" ref="P491" si="1342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43">I491-R491</f>
        <v>119104.82000000004</v>
      </c>
      <c r="T491" s="173">
        <v>-44681</v>
      </c>
      <c r="U491" s="173">
        <f t="shared" ref="U491" si="1344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95"/>
        <v>3.0298276636710187E-2</v>
      </c>
      <c r="Y491" s="807">
        <f t="shared" si="1196"/>
        <v>-0.17870480993566654</v>
      </c>
    </row>
    <row r="492" spans="1:25" ht="20.100000000000001" customHeight="1" x14ac:dyDescent="0.25">
      <c r="A492" s="163">
        <f t="shared" si="922"/>
        <v>777</v>
      </c>
      <c r="B492" s="172">
        <v>43010</v>
      </c>
      <c r="C492" s="215">
        <v>2529.12</v>
      </c>
      <c r="D492" s="171">
        <f t="shared" ref="D492" si="1345">(C492-C491)/C491</f>
        <v>3.8739997459671357E-3</v>
      </c>
      <c r="E492" s="209">
        <f t="shared" ref="E492" si="1346">(C492-$C$2)/$C$2</f>
        <v>0.2029451494454062</v>
      </c>
      <c r="F492" s="219">
        <v>6516.71</v>
      </c>
      <c r="G492" s="171">
        <f t="shared" ref="G492" si="1347">(F492-F491)/F491</f>
        <v>3.1958374063840115E-3</v>
      </c>
      <c r="H492" s="203">
        <f t="shared" ref="H492" si="1348">(F492-F$2)/F$2</f>
        <v>0.27986919889231499</v>
      </c>
      <c r="I492" s="221">
        <v>357811.27</v>
      </c>
      <c r="J492" s="173">
        <v>350000</v>
      </c>
      <c r="K492" s="173">
        <f t="shared" ref="K492" si="1349">I492-I491-J492+J491</f>
        <v>951.92999999999302</v>
      </c>
      <c r="L492" s="171">
        <f t="shared" ref="L492" si="1350">K492/I491</f>
        <v>2.6675216066924098E-3</v>
      </c>
      <c r="M492" s="182">
        <f t="shared" ref="M492" si="1351">I492-J492</f>
        <v>7811.2700000000186</v>
      </c>
      <c r="N492" s="184">
        <f t="shared" ref="N492" si="1352">M492/J492</f>
        <v>2.2317914285714339E-2</v>
      </c>
      <c r="O492" s="183">
        <f t="shared" si="991"/>
        <v>1.0491143105350272E-2</v>
      </c>
      <c r="P492" s="182" t="b">
        <f t="shared" ref="P492" si="1353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54">I492-R492</f>
        <v>124845.59000000003</v>
      </c>
      <c r="T492" s="173">
        <v>-44640</v>
      </c>
      <c r="U492" s="173">
        <f t="shared" ref="U492" si="1355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95"/>
        <v>3.4404522754362801E-2</v>
      </c>
      <c r="Y492" s="807">
        <f t="shared" si="1196"/>
        <v>-0.18062723515969187</v>
      </c>
    </row>
    <row r="493" spans="1:25" ht="20.100000000000001" customHeight="1" x14ac:dyDescent="0.25">
      <c r="A493" s="163">
        <f t="shared" si="922"/>
        <v>778</v>
      </c>
      <c r="B493" s="172">
        <v>43011</v>
      </c>
      <c r="C493" s="215">
        <v>2534.58</v>
      </c>
      <c r="D493" s="171">
        <f t="shared" ref="D493" si="1356">(C493-C492)/C492</f>
        <v>2.1588536724236242E-3</v>
      </c>
      <c r="E493" s="209">
        <f t="shared" ref="E493" si="1357">(C493-$C$2)/$C$2</f>
        <v>0.20554213199901061</v>
      </c>
      <c r="F493" s="219">
        <v>6531.71</v>
      </c>
      <c r="G493" s="171">
        <f t="shared" ref="G493" si="1358">(F493-F492)/F492</f>
        <v>2.3017749754093708E-3</v>
      </c>
      <c r="H493" s="203">
        <f t="shared" ref="H493" si="1359">(F493-F$2)/F$2</f>
        <v>0.28281516978612259</v>
      </c>
      <c r="I493" s="221">
        <v>360621.39</v>
      </c>
      <c r="J493" s="173">
        <v>350000</v>
      </c>
      <c r="K493" s="173">
        <f t="shared" ref="K493" si="1360">I493-I492-J493+J492</f>
        <v>2810.1199999999953</v>
      </c>
      <c r="L493" s="171">
        <f t="shared" ref="L493" si="1361">K493/I492</f>
        <v>7.8536374776568534E-3</v>
      </c>
      <c r="M493" s="182">
        <f t="shared" ref="M493" si="1362">I493-J493</f>
        <v>10621.390000000014</v>
      </c>
      <c r="N493" s="184">
        <f t="shared" ref="N493" si="1363">M493/J493</f>
        <v>3.0346828571428612E-2</v>
      </c>
      <c r="O493" s="183">
        <f t="shared" si="991"/>
        <v>1.4247016883951542E-2</v>
      </c>
      <c r="P493" s="182" t="b">
        <f t="shared" ref="P493" si="1364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65">I493-R493</f>
        <v>129038.99000000002</v>
      </c>
      <c r="T493" s="173">
        <v>-43206</v>
      </c>
      <c r="U493" s="173">
        <f t="shared" ref="U493" si="1366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95"/>
        <v>4.6762063480922801E-2</v>
      </c>
      <c r="Y493" s="807">
        <f t="shared" si="1196"/>
        <v>-0.17519530342758199</v>
      </c>
    </row>
    <row r="494" spans="1:25" ht="20.100000000000001" customHeight="1" x14ac:dyDescent="0.25">
      <c r="A494" s="163">
        <f t="shared" si="922"/>
        <v>779</v>
      </c>
      <c r="B494" s="172">
        <v>43012</v>
      </c>
      <c r="C494" s="215">
        <v>2537.7399999999998</v>
      </c>
      <c r="D494" s="171">
        <f t="shared" ref="D494" si="1367">(C494-C493)/C493</f>
        <v>1.2467548864111035E-3</v>
      </c>
      <c r="E494" s="209">
        <f t="shared" ref="E494" si="1368">(C494-$C$2)/$C$2</f>
        <v>0.20704514754285483</v>
      </c>
      <c r="F494" s="219">
        <v>6534.62</v>
      </c>
      <c r="G494" s="171">
        <f t="shared" ref="G494" si="1369">(F494-F493)/F493</f>
        <v>4.4551886106392573E-4</v>
      </c>
      <c r="H494" s="203">
        <f t="shared" ref="H494" si="1370">(F494-F$2)/F$2</f>
        <v>0.28338668813952123</v>
      </c>
      <c r="I494" s="221">
        <v>360384.52</v>
      </c>
      <c r="J494" s="173">
        <v>350000</v>
      </c>
      <c r="K494" s="173">
        <f t="shared" ref="K494" si="1371">I494-I493-J494+J493</f>
        <v>-236.86999999999534</v>
      </c>
      <c r="L494" s="171">
        <f t="shared" ref="L494" si="1372">K494/I493</f>
        <v>-6.5683846429629518E-4</v>
      </c>
      <c r="M494" s="182">
        <f t="shared" ref="M494" si="1373">I494-J494</f>
        <v>10384.520000000019</v>
      </c>
      <c r="N494" s="184">
        <f t="shared" ref="N494" si="1374">M494/J494</f>
        <v>2.9670057142857195E-2</v>
      </c>
      <c r="O494" s="183">
        <f t="shared" si="991"/>
        <v>1.3911409976159935E-2</v>
      </c>
      <c r="P494" s="182" t="b">
        <f t="shared" ref="P494" si="1375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76">I494-R494</f>
        <v>131645.39000000001</v>
      </c>
      <c r="T494" s="173">
        <v>-43349</v>
      </c>
      <c r="U494" s="173">
        <f t="shared" ref="U494" si="1377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95"/>
        <v>4.5706944418538162E-2</v>
      </c>
      <c r="Y494" s="807">
        <f t="shared" si="1196"/>
        <v>-0.17737509039999763</v>
      </c>
    </row>
    <row r="495" spans="1:25" ht="20.100000000000001" customHeight="1" x14ac:dyDescent="0.25">
      <c r="A495" s="163">
        <f t="shared" si="922"/>
        <v>780</v>
      </c>
      <c r="B495" s="172">
        <v>43013</v>
      </c>
      <c r="C495" s="215">
        <v>2552.0700000000002</v>
      </c>
      <c r="D495" s="171">
        <f t="shared" ref="D495" si="1378">(C495-C494)/C494</f>
        <v>5.6467565629262188E-3</v>
      </c>
      <c r="E495" s="209">
        <f t="shared" ref="E495" si="1379">(C495-$C$2)/$C$2</f>
        <v>0.2138610376514907</v>
      </c>
      <c r="F495" s="219">
        <v>6585.35</v>
      </c>
      <c r="G495" s="171">
        <f t="shared" ref="G495" si="1380">(F495-F494)/F494</f>
        <v>7.7632670300645601E-3</v>
      </c>
      <c r="H495" s="203">
        <f t="shared" ref="H495" si="1381">(F495-F$2)/F$2</f>
        <v>0.29334996170237848</v>
      </c>
      <c r="I495" s="221">
        <v>360856.84</v>
      </c>
      <c r="J495" s="173">
        <v>350000</v>
      </c>
      <c r="K495" s="173">
        <f t="shared" ref="K495" si="1382">I495-I494-J495+J494</f>
        <v>472.32000000000698</v>
      </c>
      <c r="L495" s="171">
        <f t="shared" ref="L495" si="1383">K495/I494</f>
        <v>1.3106001334352733E-3</v>
      </c>
      <c r="M495" s="182">
        <f t="shared" ref="M495" si="1384">I495-J495</f>
        <v>10856.840000000026</v>
      </c>
      <c r="N495" s="184">
        <f t="shared" ref="N495" si="1385">M495/J495</f>
        <v>3.101954285714293E-2</v>
      </c>
      <c r="O495" s="183">
        <f t="shared" si="991"/>
        <v>1.4525497472527507E-2</v>
      </c>
      <c r="P495" s="182" t="b">
        <f t="shared" ref="P495" si="1386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87">I495-R495</f>
        <v>130065.39000000001</v>
      </c>
      <c r="T495" s="173">
        <v>-43035</v>
      </c>
      <c r="U495" s="173">
        <f t="shared" ref="U495" si="1388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95"/>
        <v>4.7773042948679324E-2</v>
      </c>
      <c r="Y495" s="807">
        <f t="shared" si="1196"/>
        <v>-0.18284149479434778</v>
      </c>
    </row>
    <row r="496" spans="1:25" ht="20.100000000000001" customHeight="1" x14ac:dyDescent="0.25">
      <c r="A496" s="163">
        <f t="shared" si="922"/>
        <v>781</v>
      </c>
      <c r="B496" s="172">
        <v>43014</v>
      </c>
      <c r="C496" s="215">
        <v>2549.33</v>
      </c>
      <c r="D496" s="171">
        <f t="shared" ref="D496" si="1389">(C496-C495)/C495</f>
        <v>-1.0736382622734627E-3</v>
      </c>
      <c r="E496" s="209">
        <f t="shared" ref="E496" si="1390">(C496-$C$2)/$C$2</f>
        <v>0.21255778999638508</v>
      </c>
      <c r="F496" s="219">
        <v>6590.18</v>
      </c>
      <c r="G496" s="171">
        <f t="shared" ref="G496" si="1391">(F496-F495)/F495</f>
        <v>7.334462101482726E-4</v>
      </c>
      <c r="H496" s="203">
        <f t="shared" ref="H496" si="1392">(F496-F$2)/F$2</f>
        <v>0.29429856433018453</v>
      </c>
      <c r="I496" s="221">
        <v>357118.36</v>
      </c>
      <c r="J496" s="173">
        <v>350000</v>
      </c>
      <c r="K496" s="173">
        <f t="shared" ref="K496" si="1393">I496-I495-J496+J495</f>
        <v>-3738.4800000000396</v>
      </c>
      <c r="L496" s="171">
        <f t="shared" ref="L496" si="1394">K496/I495</f>
        <v>-1.036000869486093E-2</v>
      </c>
      <c r="M496" s="182">
        <f t="shared" ref="M496" si="1395">I496-J496</f>
        <v>7118.359999999986</v>
      </c>
      <c r="N496" s="184">
        <f t="shared" ref="N496" si="1396">M496/J496</f>
        <v>2.0338171428571389E-2</v>
      </c>
      <c r="O496" s="183">
        <f t="shared" si="991"/>
        <v>9.5115456008779756E-3</v>
      </c>
      <c r="P496" s="182" t="b">
        <f t="shared" ref="P496" si="1397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8">I496-R496</f>
        <v>116657.98999999999</v>
      </c>
      <c r="T496" s="173">
        <v>-43165</v>
      </c>
      <c r="U496" s="173">
        <f t="shared" ref="U496" si="1399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95"/>
        <v>3.1304328748377408E-2</v>
      </c>
      <c r="Y496" s="807">
        <f t="shared" si="1196"/>
        <v>-0.19221961856781369</v>
      </c>
    </row>
    <row r="497" spans="1:25" ht="20.100000000000001" customHeight="1" x14ac:dyDescent="0.25">
      <c r="A497" s="163">
        <f t="shared" si="922"/>
        <v>784</v>
      </c>
      <c r="B497" s="172">
        <v>43017</v>
      </c>
      <c r="C497" s="215">
        <v>2544.73</v>
      </c>
      <c r="D497" s="171">
        <f t="shared" ref="D497" si="1400">(C497-C496)/C496</f>
        <v>-1.8043956647432499E-3</v>
      </c>
      <c r="E497" s="209">
        <f t="shared" ref="E497" si="1401">(C497-$C$2)/$C$2</f>
        <v>0.21036985597686494</v>
      </c>
      <c r="F497" s="219">
        <v>6579.73</v>
      </c>
      <c r="G497" s="171">
        <f t="shared" ref="G497" si="1402">(F497-F496)/F496</f>
        <v>-1.5856926517941433E-3</v>
      </c>
      <c r="H497" s="203">
        <f t="shared" ref="H497" si="1403">(F497-F$2)/F$2</f>
        <v>0.29224620460749845</v>
      </c>
      <c r="I497" s="221">
        <v>354927.69</v>
      </c>
      <c r="J497" s="173">
        <v>350000</v>
      </c>
      <c r="K497" s="173">
        <f t="shared" ref="K497" si="1404">I497-I496-J497+J496</f>
        <v>-2190.6699999999837</v>
      </c>
      <c r="L497" s="171">
        <f t="shared" ref="L497" si="1405">K497/I496</f>
        <v>-6.1342967636835695E-3</v>
      </c>
      <c r="M497" s="182">
        <f t="shared" ref="M497" si="1406">I497-J497</f>
        <v>4927.6900000000023</v>
      </c>
      <c r="N497" s="184">
        <f t="shared" ref="N497" si="1407">M497/J497</f>
        <v>1.4079114285714293E-2</v>
      </c>
      <c r="O497" s="183">
        <f t="shared" si="991"/>
        <v>6.5591792000728897E-3</v>
      </c>
      <c r="P497" s="182" t="b">
        <f t="shared" ref="P497" si="1408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9">I497-R497</f>
        <v>103482.98999999999</v>
      </c>
      <c r="T497" s="173">
        <v>-43757</v>
      </c>
      <c r="U497" s="173">
        <f t="shared" ref="U497" si="1410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95"/>
        <v>2.1606857405861626E-2</v>
      </c>
      <c r="Y497" s="807">
        <f t="shared" si="1196"/>
        <v>-0.19629074169115066</v>
      </c>
    </row>
    <row r="498" spans="1:25" ht="20.100000000000001" customHeight="1" x14ac:dyDescent="0.25">
      <c r="A498" s="163">
        <f t="shared" si="922"/>
        <v>785</v>
      </c>
      <c r="B498" s="172">
        <v>43018</v>
      </c>
      <c r="C498" s="215">
        <v>2550.64</v>
      </c>
      <c r="D498" s="171">
        <f t="shared" ref="D498" si="1411">(C498-C497)/C497</f>
        <v>2.3224467821732972E-3</v>
      </c>
      <c r="E498" s="209">
        <f t="shared" ref="E498" si="1412">(C498-$C$2)/$C$2</f>
        <v>0.21318087555411799</v>
      </c>
      <c r="F498" s="219">
        <v>6587.25</v>
      </c>
      <c r="G498" s="171">
        <f t="shared" ref="G498" si="1413">(F498-F497)/F497</f>
        <v>1.142904040135452E-3</v>
      </c>
      <c r="H498" s="203">
        <f t="shared" ref="H498" si="1414">(F498-F$2)/F$2</f>
        <v>0.29372311801559403</v>
      </c>
      <c r="I498" s="221">
        <v>356097.03</v>
      </c>
      <c r="J498" s="173">
        <v>350000</v>
      </c>
      <c r="K498" s="173">
        <f t="shared" ref="K498" si="1415">I498-I497-J498+J497</f>
        <v>1169.3400000000256</v>
      </c>
      <c r="L498" s="171">
        <f t="shared" ref="L498" si="1416">K498/I497</f>
        <v>3.2945865677598317E-3</v>
      </c>
      <c r="M498" s="182">
        <f t="shared" ref="M498" si="1417">I498-J498</f>
        <v>6097.0300000000279</v>
      </c>
      <c r="N498" s="184">
        <f t="shared" ref="N498" si="1418">M498/J498</f>
        <v>1.7420085714285796E-2</v>
      </c>
      <c r="O498" s="183">
        <f t="shared" si="991"/>
        <v>8.1053328753412576E-3</v>
      </c>
      <c r="P498" s="182" t="b">
        <f t="shared" ref="P498" si="1419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20">I498-R498</f>
        <v>107636.39000000001</v>
      </c>
      <c r="T498" s="173">
        <v>-43317</v>
      </c>
      <c r="U498" s="173">
        <f t="shared" ref="U498" si="1421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95"/>
        <v>2.6726490785900642E-2</v>
      </c>
      <c r="Y498" s="807">
        <f t="shared" si="1196"/>
        <v>-0.19576078983983219</v>
      </c>
    </row>
    <row r="499" spans="1:25" ht="20.100000000000001" customHeight="1" x14ac:dyDescent="0.25">
      <c r="A499" s="163">
        <f t="shared" si="922"/>
        <v>786</v>
      </c>
      <c r="B499" s="172">
        <v>43019</v>
      </c>
      <c r="C499" s="215">
        <v>2555.2399999999998</v>
      </c>
      <c r="D499" s="171">
        <f t="shared" ref="D499" si="1422">(C499-C498)/C498</f>
        <v>1.8034689332872963E-3</v>
      </c>
      <c r="E499" s="209">
        <f t="shared" ref="E499" si="1423">(C499-$C$2)/$C$2</f>
        <v>0.2153688095736381</v>
      </c>
      <c r="F499" s="219">
        <v>6603.54</v>
      </c>
      <c r="G499" s="171">
        <f t="shared" ref="G499" si="1424">(F499-F498)/F498</f>
        <v>2.4729591255835083E-3</v>
      </c>
      <c r="H499" s="203">
        <f t="shared" ref="H499" si="1425">(F499-F$2)/F$2</f>
        <v>0.29692244240626908</v>
      </c>
      <c r="I499" s="221">
        <v>356596.97</v>
      </c>
      <c r="J499" s="173">
        <v>350000</v>
      </c>
      <c r="K499" s="173">
        <f t="shared" ref="K499" si="1426">I499-I498-J499+J498</f>
        <v>499.93999999994412</v>
      </c>
      <c r="L499" s="171">
        <f t="shared" ref="L499" si="1427">K499/I498</f>
        <v>1.4039431893041738E-3</v>
      </c>
      <c r="M499" s="182">
        <f t="shared" ref="M499" si="1428">I499-J499</f>
        <v>6596.9699999999721</v>
      </c>
      <c r="N499" s="184">
        <f t="shared" ref="N499" si="1429">M499/J499</f>
        <v>1.8848485714285636E-2</v>
      </c>
      <c r="O499" s="183">
        <f t="shared" si="991"/>
        <v>8.7587905943292983E-3</v>
      </c>
      <c r="P499" s="182" t="b">
        <f t="shared" ref="P499" si="1430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31">I499-R499</f>
        <v>104417.38999999998</v>
      </c>
      <c r="T499" s="173">
        <v>-42865</v>
      </c>
      <c r="U499" s="173">
        <f t="shared" ref="U499" si="1432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95"/>
        <v>2.8910275896734991E-2</v>
      </c>
      <c r="Y499" s="807">
        <f t="shared" si="1196"/>
        <v>-0.19652032385935247</v>
      </c>
    </row>
    <row r="500" spans="1:25" ht="20.100000000000001" customHeight="1" x14ac:dyDescent="0.25">
      <c r="A500" s="163">
        <f t="shared" si="922"/>
        <v>787</v>
      </c>
      <c r="B500" s="172">
        <v>43020</v>
      </c>
      <c r="C500" s="215">
        <v>2550.9299999999998</v>
      </c>
      <c r="D500" s="171">
        <f t="shared" ref="D500" si="1433">(C500-C499)/C499</f>
        <v>-1.6867300136190518E-3</v>
      </c>
      <c r="E500" s="209">
        <f t="shared" ref="E500" si="1434">(C500-$C$2)/$C$2</f>
        <v>0.2133188105249138</v>
      </c>
      <c r="F500" s="219">
        <v>6591.51</v>
      </c>
      <c r="G500" s="171">
        <f t="shared" ref="G500" si="1435">(F500-F499)/F499</f>
        <v>-1.821750152191059E-3</v>
      </c>
      <c r="H500" s="203">
        <f t="shared" ref="H500" si="1436">(F500-F$2)/F$2</f>
        <v>0.29455977374943543</v>
      </c>
      <c r="I500" s="221">
        <v>355844.19</v>
      </c>
      <c r="J500" s="173">
        <v>350000</v>
      </c>
      <c r="K500" s="173">
        <f t="shared" ref="K500" si="1437">I500-I499-J500+J499</f>
        <v>-752.77999999996973</v>
      </c>
      <c r="L500" s="171">
        <f t="shared" ref="L500" si="1438">K500/I499</f>
        <v>-2.1110106459961502E-3</v>
      </c>
      <c r="M500" s="182">
        <f t="shared" ref="M500" si="1439">I500-J500</f>
        <v>5844.1900000000023</v>
      </c>
      <c r="N500" s="184">
        <f t="shared" ref="N500" si="1440">M500/J500</f>
        <v>1.6697685714285721E-2</v>
      </c>
      <c r="O500" s="183">
        <f t="shared" si="991"/>
        <v>7.7494659557088433E-3</v>
      </c>
      <c r="P500" s="182" t="b">
        <f t="shared" ref="P500" si="1441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42">I500-R500</f>
        <v>98151.390000000014</v>
      </c>
      <c r="T500" s="173">
        <v>-42451</v>
      </c>
      <c r="U500" s="173">
        <f t="shared" ref="U500" si="1443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95"/>
        <v>2.5604110894468866E-2</v>
      </c>
      <c r="Y500" s="807">
        <f t="shared" si="1196"/>
        <v>-0.19662112481062807</v>
      </c>
    </row>
    <row r="501" spans="1:25" ht="20.100000000000001" customHeight="1" x14ac:dyDescent="0.25">
      <c r="A501" s="163">
        <f t="shared" si="922"/>
        <v>788</v>
      </c>
      <c r="B501" s="172">
        <v>43021</v>
      </c>
      <c r="C501" s="215">
        <v>2553.17</v>
      </c>
      <c r="D501" s="171">
        <f t="shared" ref="D501" si="1444">(C501-C500)/C500</f>
        <v>8.7811112025819467E-4</v>
      </c>
      <c r="E501" s="209">
        <f t="shared" ref="E501" si="1445">(C501-$C$2)/$C$2</f>
        <v>0.21438423926485417</v>
      </c>
      <c r="F501" s="219">
        <v>6605.8</v>
      </c>
      <c r="G501" s="171">
        <f t="shared" ref="G501" si="1446">(F501-F500)/F500</f>
        <v>2.1679402746866746E-3</v>
      </c>
      <c r="H501" s="203">
        <f t="shared" ref="H501" si="1447">(F501-F$2)/F$2</f>
        <v>0.29736630202093611</v>
      </c>
      <c r="I501" s="221">
        <v>357661.23</v>
      </c>
      <c r="J501" s="173">
        <v>350000</v>
      </c>
      <c r="K501" s="173">
        <f t="shared" ref="K501" si="1448">I501-I500-J501+J500</f>
        <v>1817.039999999979</v>
      </c>
      <c r="L501" s="171">
        <f t="shared" ref="L501" si="1449">K501/I500</f>
        <v>5.1062798018424276E-3</v>
      </c>
      <c r="M501" s="182">
        <f t="shared" ref="M501" si="1450">I501-J501</f>
        <v>7661.2299999999814</v>
      </c>
      <c r="N501" s="184">
        <f t="shared" ref="N501" si="1451">M501/J501</f>
        <v>2.1889228571428519E-2</v>
      </c>
      <c r="O501" s="183">
        <f t="shared" si="991"/>
        <v>1.0145990781363284E-2</v>
      </c>
      <c r="P501" s="182" t="b">
        <f t="shared" ref="P501" si="1452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53">I501-R501</f>
        <v>91898.909999999974</v>
      </c>
      <c r="T501" s="173">
        <v>-41907</v>
      </c>
      <c r="U501" s="173">
        <f t="shared" ref="U501" si="1454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95"/>
        <v>3.3553835325881735E-2</v>
      </c>
      <c r="Y501" s="807">
        <f t="shared" si="1196"/>
        <v>-0.19249501069342564</v>
      </c>
    </row>
    <row r="502" spans="1:25" ht="20.100000000000001" customHeight="1" x14ac:dyDescent="0.25">
      <c r="A502" s="163">
        <f t="shared" si="922"/>
        <v>791</v>
      </c>
      <c r="B502" s="172">
        <v>43024</v>
      </c>
      <c r="C502" s="215">
        <v>2557.64</v>
      </c>
      <c r="D502" s="171">
        <f t="shared" ref="D502" si="1455">(C502-C501)/C501</f>
        <v>1.7507647356031129E-3</v>
      </c>
      <c r="E502" s="209">
        <f t="shared" ref="E502" si="1456">(C502-$C$2)/$C$2</f>
        <v>0.2165103403664313</v>
      </c>
      <c r="F502" s="219">
        <v>6624</v>
      </c>
      <c r="G502" s="171">
        <f t="shared" ref="G502" si="1457">(F502-F501)/F501</f>
        <v>2.7551545611432101E-3</v>
      </c>
      <c r="H502" s="203">
        <f t="shared" ref="H502" si="1458">(F502-F$2)/F$2</f>
        <v>0.30094074670542259</v>
      </c>
      <c r="I502" s="221">
        <v>356269.41</v>
      </c>
      <c r="J502" s="173">
        <v>350000</v>
      </c>
      <c r="K502" s="173">
        <f t="shared" ref="K502" si="1459">I502-I501-J502+J501</f>
        <v>-1391.820000000007</v>
      </c>
      <c r="L502" s="171">
        <f t="shared" ref="L502" si="1460">K502/I501</f>
        <v>-3.8914477814662972E-3</v>
      </c>
      <c r="M502" s="182">
        <f t="shared" ref="M502" si="1461">I502-J502</f>
        <v>6269.4099999999744</v>
      </c>
      <c r="N502" s="184">
        <f t="shared" ref="N502" si="1462">M502/J502</f>
        <v>1.7912599999999928E-2</v>
      </c>
      <c r="O502" s="183">
        <f t="shared" si="991"/>
        <v>8.271273261694025E-3</v>
      </c>
      <c r="P502" s="182" t="b">
        <f t="shared" ref="P502" si="1463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64">I502-R502</f>
        <v>91898.899999999965</v>
      </c>
      <c r="T502" s="173">
        <v>-43678</v>
      </c>
      <c r="U502" s="173">
        <f t="shared" ref="U502" si="1465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95"/>
        <v>2.7380010476751947E-2</v>
      </c>
      <c r="Y502" s="807">
        <f t="shared" si="1196"/>
        <v>-0.19859774036643138</v>
      </c>
    </row>
    <row r="503" spans="1:25" ht="20.100000000000001" customHeight="1" x14ac:dyDescent="0.25">
      <c r="A503" s="163">
        <f t="shared" si="922"/>
        <v>792</v>
      </c>
      <c r="B503" s="172">
        <v>43025</v>
      </c>
      <c r="C503" s="215">
        <v>2559.36</v>
      </c>
      <c r="D503" s="171">
        <f t="shared" ref="D503" si="1466">(C503-C502)/C502</f>
        <v>6.7249495628792747E-4</v>
      </c>
      <c r="E503" s="209">
        <f t="shared" ref="E503" si="1467">(C503-$C$2)/$C$2</f>
        <v>0.21732843743459981</v>
      </c>
      <c r="F503" s="219">
        <v>6623.65</v>
      </c>
      <c r="G503" s="171">
        <f t="shared" ref="G503" si="1468">(F503-F502)/F502</f>
        <v>-5.2838164251262654E-5</v>
      </c>
      <c r="H503" s="203">
        <f t="shared" ref="H503" si="1469">(F503-F$2)/F$2</f>
        <v>0.30087200738456704</v>
      </c>
      <c r="I503" s="221">
        <v>356984.93</v>
      </c>
      <c r="J503" s="173">
        <v>350000</v>
      </c>
      <c r="K503" s="173">
        <f t="shared" ref="K503" si="1470">I503-I502-J503+J502</f>
        <v>715.52000000001863</v>
      </c>
      <c r="L503" s="171">
        <f t="shared" ref="L503" si="1471">K503/I502</f>
        <v>2.008367768650187E-3</v>
      </c>
      <c r="M503" s="182">
        <f t="shared" ref="M503" si="1472">I503-J503</f>
        <v>6984.929999999993</v>
      </c>
      <c r="N503" s="184">
        <f t="shared" ref="N503" si="1473">M503/J503</f>
        <v>1.9956942857142838E-2</v>
      </c>
      <c r="O503" s="183">
        <f t="shared" si="991"/>
        <v>9.2036280032467433E-3</v>
      </c>
      <c r="P503" s="182" t="b">
        <f t="shared" ref="P503" si="1474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75">I503-R503</f>
        <v>91898.909999999974</v>
      </c>
      <c r="T503" s="173">
        <v>-43661</v>
      </c>
      <c r="U503" s="173">
        <f t="shared" ref="U503" si="1476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95"/>
        <v>3.049663231785767E-2</v>
      </c>
      <c r="Y503" s="807">
        <f t="shared" si="1196"/>
        <v>-0.19737149457745698</v>
      </c>
    </row>
    <row r="504" spans="1:25" ht="20.100000000000001" customHeight="1" x14ac:dyDescent="0.25">
      <c r="A504" s="163">
        <f t="shared" si="922"/>
        <v>793</v>
      </c>
      <c r="B504" s="172">
        <v>43026</v>
      </c>
      <c r="C504" s="215">
        <v>2561.2600000000002</v>
      </c>
      <c r="D504" s="171">
        <f t="shared" ref="D504" si="1477">(C504-C503)/C503</f>
        <v>7.4237309327335383E-4</v>
      </c>
      <c r="E504" s="209">
        <f t="shared" ref="E504" si="1478">(C504-$C$2)/$C$2</f>
        <v>0.21823214931222776</v>
      </c>
      <c r="F504" s="219">
        <v>6624.22</v>
      </c>
      <c r="G504" s="171">
        <f t="shared" ref="G504" si="1479">(F504-F503)/F503</f>
        <v>8.6055271640352141E-5</v>
      </c>
      <c r="H504" s="203">
        <f t="shared" ref="H504" si="1480">(F504-F$2)/F$2</f>
        <v>0.30098395427853181</v>
      </c>
      <c r="I504" s="221">
        <v>356309.25</v>
      </c>
      <c r="J504" s="173">
        <v>350000</v>
      </c>
      <c r="K504" s="173">
        <f t="shared" ref="K504" si="1481">I504-I503-J504+J503</f>
        <v>-675.67999999999302</v>
      </c>
      <c r="L504" s="171">
        <f t="shared" ref="L504" si="1482">K504/I503</f>
        <v>-1.8927409624826265E-3</v>
      </c>
      <c r="M504" s="182">
        <f t="shared" ref="M504" si="1483">I504-J504</f>
        <v>6309.25</v>
      </c>
      <c r="N504" s="184">
        <f t="shared" ref="N504" si="1484">M504/J504</f>
        <v>1.8026428571428572E-2</v>
      </c>
      <c r="O504" s="183">
        <f t="shared" si="991"/>
        <v>8.3028411547468924E-3</v>
      </c>
      <c r="P504" s="182" t="b">
        <f t="shared" ref="P504" si="1485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86">I504-R504</f>
        <v>91898.909999999974</v>
      </c>
      <c r="T504" s="173">
        <v>-43281</v>
      </c>
      <c r="U504" s="173">
        <f t="shared" ref="U504" si="1487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95"/>
        <v>2.7538935808248864E-2</v>
      </c>
      <c r="Y504" s="807">
        <f t="shared" si="1196"/>
        <v>-0.20020572074079918</v>
      </c>
    </row>
    <row r="505" spans="1:25" ht="20.100000000000001" customHeight="1" x14ac:dyDescent="0.25">
      <c r="A505" s="163">
        <f t="shared" si="922"/>
        <v>794</v>
      </c>
      <c r="B505" s="172">
        <v>43027</v>
      </c>
      <c r="C505" s="215">
        <v>2562.1</v>
      </c>
      <c r="D505" s="171">
        <f t="shared" ref="D505" si="1488">(C505-C504)/C504</f>
        <v>3.2796358042513869E-4</v>
      </c>
      <c r="E505" s="209">
        <f t="shared" ref="E505" si="1489">(C505-$C$2)/$C$2</f>
        <v>0.21863168508970521</v>
      </c>
      <c r="F505" s="219">
        <v>6605.06</v>
      </c>
      <c r="G505" s="171">
        <f t="shared" ref="G505" si="1490">(F505-F504)/F504</f>
        <v>-2.8924160127531775E-3</v>
      </c>
      <c r="H505" s="203">
        <f t="shared" ref="H505" si="1491">(F505-F$2)/F$2</f>
        <v>0.29722096745684168</v>
      </c>
      <c r="I505" s="221">
        <v>357443.95</v>
      </c>
      <c r="J505" s="173">
        <v>350000</v>
      </c>
      <c r="K505" s="173">
        <f t="shared" ref="K505" si="1492">I505-I504-J505+J504</f>
        <v>1134.7000000000116</v>
      </c>
      <c r="L505" s="171">
        <f t="shared" ref="L505" si="1493">K505/I504</f>
        <v>3.1845931588922031E-3</v>
      </c>
      <c r="M505" s="182">
        <f t="shared" ref="M505" si="1494">I505-J505</f>
        <v>7443.9500000000116</v>
      </c>
      <c r="N505" s="184">
        <f t="shared" ref="N505" si="1495">M505/J505</f>
        <v>2.1268428571428605E-2</v>
      </c>
      <c r="O505" s="183">
        <f t="shared" si="991"/>
        <v>9.783745007196849E-3</v>
      </c>
      <c r="P505" s="182" t="b">
        <f t="shared" ref="P505" si="1496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97">I505-R505</f>
        <v>93032.609999999986</v>
      </c>
      <c r="T505" s="173">
        <v>-42836</v>
      </c>
      <c r="U505" s="173">
        <f t="shared" ref="U505" si="1498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95"/>
        <v>3.2482479038257503E-2</v>
      </c>
      <c r="Y505" s="807">
        <f t="shared" si="1196"/>
        <v>-0.1973632565182766</v>
      </c>
    </row>
    <row r="506" spans="1:25" ht="20.100000000000001" customHeight="1" x14ac:dyDescent="0.25">
      <c r="A506" s="163">
        <f t="shared" si="922"/>
        <v>795</v>
      </c>
      <c r="B506" s="172">
        <v>43028</v>
      </c>
      <c r="C506" s="215">
        <v>2575.21</v>
      </c>
      <c r="D506" s="171">
        <f t="shared" ref="D506" si="1499">(C506-C505)/C505</f>
        <v>5.1168962960072319E-3</v>
      </c>
      <c r="E506" s="209">
        <f t="shared" ref="E506" si="1500">(C506-$C$2)/$C$2</f>
        <v>0.22486729704533778</v>
      </c>
      <c r="F506" s="219">
        <v>6629.05</v>
      </c>
      <c r="G506" s="171">
        <f t="shared" ref="G506" si="1501">(F506-F505)/F505</f>
        <v>3.6320639025231838E-3</v>
      </c>
      <c r="H506" s="203">
        <f t="shared" ref="H506" si="1502">(F506-F$2)/F$2</f>
        <v>0.30193255690633786</v>
      </c>
      <c r="I506" s="221">
        <v>360239.92</v>
      </c>
      <c r="J506" s="173">
        <v>350000</v>
      </c>
      <c r="K506" s="173">
        <f t="shared" ref="K506" si="1503">I506-I505-J506+J505</f>
        <v>2795.9699999999721</v>
      </c>
      <c r="L506" s="171">
        <f t="shared" ref="L506" si="1504">K506/I505</f>
        <v>7.822121482263085E-3</v>
      </c>
      <c r="M506" s="182">
        <f t="shared" ref="M506" si="1505">I506-J506</f>
        <v>10239.919999999984</v>
      </c>
      <c r="N506" s="184">
        <f t="shared" ref="N506" si="1506">M506/J506</f>
        <v>2.9256914285714239E-2</v>
      </c>
      <c r="O506" s="183">
        <f t="shared" si="991"/>
        <v>1.3441620053908334E-2</v>
      </c>
      <c r="P506" s="182" t="b">
        <f t="shared" ref="P506" si="1507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8">I506-R506</f>
        <v>105654.41999999998</v>
      </c>
      <c r="T506" s="173">
        <v>-42552</v>
      </c>
      <c r="U506" s="173">
        <f t="shared" ref="U506" si="1509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95"/>
        <v>4.466441273044363E-2</v>
      </c>
      <c r="Y506" s="807">
        <f t="shared" si="1196"/>
        <v>-0.19561038275962356</v>
      </c>
    </row>
    <row r="507" spans="1:25" ht="20.100000000000001" customHeight="1" x14ac:dyDescent="0.25">
      <c r="A507" s="163">
        <f t="shared" si="922"/>
        <v>798</v>
      </c>
      <c r="B507" s="172">
        <v>43031</v>
      </c>
      <c r="C507" s="215">
        <v>2564.98</v>
      </c>
      <c r="D507" s="171">
        <f t="shared" ref="D507" si="1510">(C507-C506)/C506</f>
        <v>-3.9724915637948041E-3</v>
      </c>
      <c r="E507" s="209">
        <f t="shared" ref="E507" si="1511">(C507-$C$2)/$C$2</f>
        <v>0.22000152204105702</v>
      </c>
      <c r="F507" s="219">
        <v>6586.82</v>
      </c>
      <c r="G507" s="171">
        <f t="shared" ref="G507" si="1512">(F507-F506)/F506</f>
        <v>-6.3704452372512609E-3</v>
      </c>
      <c r="H507" s="203">
        <f t="shared" ref="H507" si="1513">(F507-F$2)/F$2</f>
        <v>0.29363866684997153</v>
      </c>
      <c r="I507" s="221">
        <v>357804.68</v>
      </c>
      <c r="J507" s="173">
        <v>350000</v>
      </c>
      <c r="K507" s="173">
        <f t="shared" ref="K507" si="1514">I507-I506-J507+J506</f>
        <v>-2435.2399999999907</v>
      </c>
      <c r="L507" s="171">
        <f t="shared" ref="L507" si="1515">K507/I506</f>
        <v>-6.760050357550576E-3</v>
      </c>
      <c r="M507" s="182">
        <f t="shared" ref="M507" si="1516">I507-J507</f>
        <v>7804.679999999993</v>
      </c>
      <c r="N507" s="184">
        <f t="shared" ref="N507" si="1517">M507/J507</f>
        <v>2.2299085714285693E-2</v>
      </c>
      <c r="O507" s="183">
        <f t="shared" si="991"/>
        <v>1.0206442427497305E-2</v>
      </c>
      <c r="P507" s="182" t="b">
        <f t="shared" ref="P507" si="1518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9">I507-R507</f>
        <v>105654.41999999998</v>
      </c>
      <c r="T507" s="173">
        <v>-41908</v>
      </c>
      <c r="U507" s="173">
        <f t="shared" ref="U507" si="1520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95"/>
        <v>3.3943301829971913E-2</v>
      </c>
      <c r="Y507" s="807">
        <f t="shared" si="1196"/>
        <v>-0.19770243632677134</v>
      </c>
    </row>
    <row r="508" spans="1:25" ht="20.100000000000001" customHeight="1" x14ac:dyDescent="0.25">
      <c r="A508" s="163">
        <f t="shared" si="922"/>
        <v>799</v>
      </c>
      <c r="B508" s="172">
        <v>43032</v>
      </c>
      <c r="C508" s="215">
        <v>2569.13</v>
      </c>
      <c r="D508" s="171">
        <f t="shared" ref="D508" si="1521">(C508-C507)/C507</f>
        <v>1.6179463387629108E-3</v>
      </c>
      <c r="E508" s="209">
        <f t="shared" ref="E508" si="1522">(C508-$C$2)/$C$2</f>
        <v>0.22197541903692855</v>
      </c>
      <c r="F508" s="219">
        <v>6598.63</v>
      </c>
      <c r="G508" s="171">
        <f t="shared" ref="G508" si="1523">(F508-F507)/F507</f>
        <v>1.792974455048172E-3</v>
      </c>
      <c r="H508" s="203">
        <f t="shared" ref="H508" si="1524">(F508-F$2)/F$2</f>
        <v>0.29595812793369608</v>
      </c>
      <c r="I508" s="221">
        <v>308838.62</v>
      </c>
      <c r="J508" s="173">
        <v>300000</v>
      </c>
      <c r="K508" s="173">
        <f t="shared" ref="K508" si="1525">I508-I507-J508+J507</f>
        <v>1033.9400000000023</v>
      </c>
      <c r="L508" s="171">
        <f t="shared" ref="L508" si="1526">K508/I507</f>
        <v>2.8896771277558539E-3</v>
      </c>
      <c r="M508" s="182">
        <f t="shared" ref="M508" si="1527">I508-J508</f>
        <v>8838.6199999999953</v>
      </c>
      <c r="N508" s="184">
        <f t="shared" ref="N508" si="1528">M508/J508</f>
        <v>2.9462066666666651E-2</v>
      </c>
      <c r="O508" s="183">
        <f t="shared" si="991"/>
        <v>1.3468109949937416E-2</v>
      </c>
      <c r="P508" s="182" t="b">
        <f t="shared" ref="P508" si="1529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30">I508-R508</f>
        <v>56687.359999999986</v>
      </c>
      <c r="T508" s="173">
        <v>-41721</v>
      </c>
      <c r="U508" s="173">
        <f t="shared" ref="U508" si="1531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95"/>
        <v>4.4834187773212103E-2</v>
      </c>
      <c r="Y508" s="807">
        <f t="shared" si="1196"/>
        <v>-0.1925133523702619</v>
      </c>
    </row>
    <row r="509" spans="1:25" ht="20.100000000000001" customHeight="1" x14ac:dyDescent="0.25">
      <c r="A509" s="163">
        <f t="shared" si="922"/>
        <v>800</v>
      </c>
      <c r="B509" s="172">
        <v>43033</v>
      </c>
      <c r="C509" s="215">
        <v>2557.15</v>
      </c>
      <c r="D509" s="171">
        <f t="shared" ref="D509" si="1532">(C509-C508)/C508</f>
        <v>-4.6630571438580444E-3</v>
      </c>
      <c r="E509" s="209">
        <f t="shared" ref="E509" si="1533">(C509-$C$2)/$C$2</f>
        <v>0.21627727782956946</v>
      </c>
      <c r="F509" s="219">
        <v>6563.89</v>
      </c>
      <c r="G509" s="171">
        <f t="shared" ref="G509" si="1534">(F509-F508)/F508</f>
        <v>-5.2647291937871618E-3</v>
      </c>
      <c r="H509" s="203">
        <f t="shared" ref="H509" si="1535">(F509-F$2)/F$2</f>
        <v>0.28913525934363782</v>
      </c>
      <c r="I509" s="221">
        <v>306704.96000000002</v>
      </c>
      <c r="J509" s="173">
        <v>300000</v>
      </c>
      <c r="K509" s="173">
        <f t="shared" ref="K509" si="1536">I509-I508-J509+J508</f>
        <v>-2133.6599999999744</v>
      </c>
      <c r="L509" s="171">
        <f t="shared" ref="L509" si="1537">K509/I508</f>
        <v>-6.9086566958496782E-3</v>
      </c>
      <c r="M509" s="182">
        <f t="shared" ref="M509" si="1538">I509-J509</f>
        <v>6704.960000000021</v>
      </c>
      <c r="N509" s="184">
        <f t="shared" ref="N509" si="1539">M509/J509</f>
        <v>2.2349866666666735E-2</v>
      </c>
      <c r="O509" s="183">
        <f t="shared" si="991"/>
        <v>1.0204111000000031E-2</v>
      </c>
      <c r="P509" s="182" t="b">
        <f t="shared" ref="P509" si="1540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41">I509-R509</f>
        <v>54552.700000000012</v>
      </c>
      <c r="T509" s="173">
        <v>-41720</v>
      </c>
      <c r="U509" s="173">
        <f t="shared" ref="U509" si="1542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95"/>
        <v>3.399722007092524E-2</v>
      </c>
      <c r="Y509" s="807">
        <f t="shared" si="1196"/>
        <v>-0.19392741116290271</v>
      </c>
    </row>
    <row r="510" spans="1:25" ht="20.100000000000001" customHeight="1" x14ac:dyDescent="0.25">
      <c r="A510" s="163">
        <f t="shared" si="922"/>
        <v>801</v>
      </c>
      <c r="B510" s="172">
        <v>43034</v>
      </c>
      <c r="C510" s="215">
        <v>2560.4</v>
      </c>
      <c r="D510" s="171">
        <f t="shared" ref="D510" si="1543">(C510-C509)/C509</f>
        <v>1.270946170541423E-3</v>
      </c>
      <c r="E510" s="209">
        <f t="shared" ref="E510" si="1544">(C510-$C$2)/$C$2</f>
        <v>0.21782310077814351</v>
      </c>
      <c r="F510" s="219">
        <v>6556.77</v>
      </c>
      <c r="G510" s="171">
        <f t="shared" ref="G510" si="1545">(F510-F509)/F509</f>
        <v>-1.0847226263694075E-3</v>
      </c>
      <c r="H510" s="203">
        <f t="shared" ref="H510" si="1546">(F510-F$2)/F$2</f>
        <v>0.28773690515937717</v>
      </c>
      <c r="I510" s="221">
        <v>305919.12</v>
      </c>
      <c r="J510" s="173">
        <v>300000</v>
      </c>
      <c r="K510" s="173">
        <f t="shared" ref="K510" si="1547">I510-I509-J510+J509</f>
        <v>-785.84000000002561</v>
      </c>
      <c r="L510" s="171">
        <f t="shared" ref="L510" si="1548">K510/I509</f>
        <v>-2.5622017981059893E-3</v>
      </c>
      <c r="M510" s="182">
        <f t="shared" ref="M510" si="1549">I510-J510</f>
        <v>5919.1199999999953</v>
      </c>
      <c r="N510" s="184">
        <f t="shared" ref="N510" si="1550">M510/J510</f>
        <v>1.9730399999999985E-2</v>
      </c>
      <c r="O510" s="183">
        <f t="shared" si="991"/>
        <v>8.9969146067415667E-3</v>
      </c>
      <c r="P510" s="182" t="b">
        <f t="shared" ref="P510" si="1551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52">I510-R510</f>
        <v>49093.419999999984</v>
      </c>
      <c r="T510" s="173">
        <v>-42976</v>
      </c>
      <c r="U510" s="173">
        <f t="shared" ref="U510" si="1553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95"/>
        <v>3.0004068485748572E-2</v>
      </c>
      <c r="Y510" s="807">
        <f t="shared" si="1196"/>
        <v>-0.19809270077814353</v>
      </c>
    </row>
    <row r="511" spans="1:25" ht="20.100000000000001" customHeight="1" x14ac:dyDescent="0.25">
      <c r="A511" s="163">
        <f t="shared" si="922"/>
        <v>802</v>
      </c>
      <c r="B511" s="172">
        <v>43035</v>
      </c>
      <c r="C511" s="215">
        <v>2581.0700000000002</v>
      </c>
      <c r="D511" s="171">
        <f t="shared" ref="D511" si="1554">(C511-C510)/C510</f>
        <v>8.0729573504140263E-3</v>
      </c>
      <c r="E511" s="209">
        <f t="shared" ref="E511" si="1555">(C511-$C$2)/$C$2</f>
        <v>0.22765453473107441</v>
      </c>
      <c r="F511" s="219">
        <v>6701.26</v>
      </c>
      <c r="G511" s="171">
        <f t="shared" ref="G511" si="1556">(F511-F510)/F510</f>
        <v>2.2036765053524796E-2</v>
      </c>
      <c r="H511" s="203">
        <f t="shared" ref="H511" si="1557">(F511-F$2)/F$2</f>
        <v>0.31611446078912747</v>
      </c>
      <c r="I511" s="221">
        <v>305278.40999999997</v>
      </c>
      <c r="J511" s="173">
        <v>300000</v>
      </c>
      <c r="K511" s="173">
        <f t="shared" ref="K511" si="1558">I511-I510-J511+J510</f>
        <v>-640.71000000002095</v>
      </c>
      <c r="L511" s="171">
        <f t="shared" ref="L511" si="1559">K511/I510</f>
        <v>-2.0943771020262513E-3</v>
      </c>
      <c r="M511" s="182">
        <f t="shared" ref="M511" si="1560">I511-J511</f>
        <v>5278.4099999999744</v>
      </c>
      <c r="N511" s="184">
        <f t="shared" ref="N511" si="1561">M511/J511</f>
        <v>1.7594699999999915E-2</v>
      </c>
      <c r="O511" s="183">
        <f t="shared" si="991"/>
        <v>8.0130475997505848E-3</v>
      </c>
      <c r="P511" s="182" t="b">
        <f t="shared" ref="P511" si="1562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63">I511-R511</f>
        <v>46025.609999999986</v>
      </c>
      <c r="T511" s="173">
        <v>-43407</v>
      </c>
      <c r="U511" s="173">
        <f t="shared" ref="U511" si="1564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95"/>
        <v>2.6748831844022953E-2</v>
      </c>
      <c r="Y511" s="807">
        <f t="shared" si="1196"/>
        <v>-0.21005983473107451</v>
      </c>
    </row>
    <row r="512" spans="1:25" ht="20.100000000000001" customHeight="1" x14ac:dyDescent="0.25">
      <c r="A512" s="163">
        <f t="shared" si="922"/>
        <v>805</v>
      </c>
      <c r="B512" s="172">
        <v>43038</v>
      </c>
      <c r="C512" s="215">
        <v>2572.83</v>
      </c>
      <c r="D512" s="171">
        <f t="shared" ref="D512" si="1565">(C512-C511)/C511</f>
        <v>-3.1924744388955881E-3</v>
      </c>
      <c r="E512" s="209">
        <f t="shared" ref="E512" si="1566">(C512-$C$2)/$C$2</f>
        <v>0.22373527900915122</v>
      </c>
      <c r="F512" s="219">
        <v>6698.96</v>
      </c>
      <c r="G512" s="171">
        <f t="shared" ref="G512" si="1567">(F512-F511)/F511</f>
        <v>-3.4321903642004365E-4</v>
      </c>
      <c r="H512" s="203">
        <f t="shared" ref="H512" si="1568">(F512-F$2)/F$2</f>
        <v>0.31566274525207694</v>
      </c>
      <c r="I512" s="221">
        <v>307777.62</v>
      </c>
      <c r="J512" s="173">
        <v>300000</v>
      </c>
      <c r="K512" s="173">
        <f t="shared" ref="K512" si="1569">I512-I511-J512+J511</f>
        <v>2499.210000000021</v>
      </c>
      <c r="L512" s="171">
        <f t="shared" ref="L512" si="1570">K512/I511</f>
        <v>8.1866582048826225E-3</v>
      </c>
      <c r="M512" s="182">
        <f t="shared" ref="M512" si="1571">I512-J512</f>
        <v>7777.6199999999953</v>
      </c>
      <c r="N512" s="184">
        <f t="shared" ref="N512" si="1572">M512/J512</f>
        <v>2.5925399999999984E-2</v>
      </c>
      <c r="O512" s="183">
        <f t="shared" si="991"/>
        <v>1.176304639751552E-2</v>
      </c>
      <c r="P512" s="182" t="b">
        <f t="shared" ref="P512" si="1573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74">I512-R512</f>
        <v>46036.239999999991</v>
      </c>
      <c r="T512" s="173">
        <v>-43230</v>
      </c>
      <c r="U512" s="173">
        <f t="shared" ref="U512" si="1575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95"/>
        <v>3.9298939701835414E-2</v>
      </c>
      <c r="Y512" s="807">
        <f t="shared" si="1196"/>
        <v>-0.19780987900915123</v>
      </c>
    </row>
    <row r="513" spans="1:25" ht="20.100000000000001" customHeight="1" x14ac:dyDescent="0.25">
      <c r="A513" s="163">
        <f t="shared" ref="A513:A546" si="1576">B513-$B$2</f>
        <v>806</v>
      </c>
      <c r="B513" s="172">
        <v>43039</v>
      </c>
      <c r="C513" s="215">
        <v>2575.2600000000002</v>
      </c>
      <c r="D513" s="171">
        <f t="shared" ref="D513" si="1577">(C513-C512)/C512</f>
        <v>9.4448525553584618E-4</v>
      </c>
      <c r="E513" s="209">
        <f t="shared" ref="E513" si="1578">(C513-$C$2)/$C$2</f>
        <v>0.22489107893685439</v>
      </c>
      <c r="F513" s="219">
        <v>6727.66</v>
      </c>
      <c r="G513" s="171">
        <f t="shared" ref="G513" si="1579">(F513-F512)/F512</f>
        <v>4.2842471070135991E-3</v>
      </c>
      <c r="H513" s="203">
        <f t="shared" ref="H513" si="1580">(F513-F$2)/F$2</f>
        <v>0.32129936956222876</v>
      </c>
      <c r="I513" s="472">
        <v>309994</v>
      </c>
      <c r="J513" s="173">
        <v>300000</v>
      </c>
      <c r="K513" s="173">
        <f t="shared" ref="K513" si="1581">I513-I512-J513+J512</f>
        <v>2216.3800000000047</v>
      </c>
      <c r="L513" s="171">
        <f t="shared" ref="L513" si="1582">K513/I512</f>
        <v>7.2012383486492774E-3</v>
      </c>
      <c r="M513" s="472">
        <f t="shared" ref="M513" si="1583">I513-J513</f>
        <v>9994</v>
      </c>
      <c r="N513" s="184">
        <f t="shared" ref="N513" si="1584">M513/J513</f>
        <v>3.3313333333333334E-2</v>
      </c>
      <c r="O513" s="183">
        <f t="shared" si="991"/>
        <v>1.5096395781637717E-2</v>
      </c>
      <c r="P513" s="182" t="b">
        <f t="shared" ref="P513" si="1585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86">I513-R513</f>
        <v>46036.239999999991</v>
      </c>
      <c r="T513" s="173">
        <v>-43049</v>
      </c>
      <c r="U513" s="173">
        <f t="shared" ref="U513:U515" si="1587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95"/>
        <v>5.0478324311550929E-2</v>
      </c>
      <c r="Y513" s="807">
        <f t="shared" si="1196"/>
        <v>-0.19157774560352106</v>
      </c>
    </row>
    <row r="514" spans="1:25" ht="20.100000000000001" customHeight="1" x14ac:dyDescent="0.25">
      <c r="A514" s="163">
        <f t="shared" si="1576"/>
        <v>807</v>
      </c>
      <c r="B514" s="172">
        <v>43040</v>
      </c>
      <c r="C514" s="215">
        <v>2579.36</v>
      </c>
      <c r="D514" s="171">
        <f t="shared" ref="D514" si="1588">(C514-C513)/C513</f>
        <v>1.5920722567818041E-3</v>
      </c>
      <c r="E514" s="209">
        <f t="shared" ref="E514" si="1589">(C514-$C$2)/$C$2</f>
        <v>0.22684119404120928</v>
      </c>
      <c r="F514" s="219">
        <v>6716.53</v>
      </c>
      <c r="G514" s="171">
        <f t="shared" ref="G514" si="1590">(F514-F513)/F513</f>
        <v>-1.6543642217353596E-3</v>
      </c>
      <c r="H514" s="203">
        <f t="shared" ref="H514" si="1591">(F514-F$2)/F$2</f>
        <v>0.3191134591590235</v>
      </c>
      <c r="I514" s="221">
        <v>314097.48</v>
      </c>
      <c r="J514" s="173">
        <v>300000</v>
      </c>
      <c r="K514" s="173">
        <f t="shared" ref="K514" si="1592">I514-I513-J514+J513</f>
        <v>4103.4799999999814</v>
      </c>
      <c r="L514" s="171">
        <f t="shared" ref="L514" si="1593">K514/I513</f>
        <v>1.3237288463647624E-2</v>
      </c>
      <c r="M514" s="182">
        <f t="shared" ref="M514" si="1594">I514-J514</f>
        <v>14097.479999999981</v>
      </c>
      <c r="N514" s="184">
        <f t="shared" ref="N514" si="1595">M514/J514</f>
        <v>4.6991599999999939E-2</v>
      </c>
      <c r="O514" s="183">
        <f t="shared" si="991"/>
        <v>2.1268502973977668E-2</v>
      </c>
      <c r="P514" s="182" t="b">
        <f t="shared" ref="P514" si="1596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97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95"/>
        <v>7.1153587803861038E-2</v>
      </c>
      <c r="Y514" s="807">
        <f t="shared" si="1196"/>
        <v>-0.17984959404120934</v>
      </c>
    </row>
    <row r="515" spans="1:25" ht="20.100000000000001" customHeight="1" x14ac:dyDescent="0.25">
      <c r="A515" s="163">
        <f t="shared" si="1576"/>
        <v>808</v>
      </c>
      <c r="B515" s="172">
        <v>43041</v>
      </c>
      <c r="C515" s="215">
        <v>2579.85</v>
      </c>
      <c r="D515" s="171">
        <f t="shared" ref="D515" si="1598">(C515-C514)/C514</f>
        <v>1.8996960486313726E-4</v>
      </c>
      <c r="E515" s="209">
        <f t="shared" ref="E515" si="1599">(C515-$C$2)/$C$2</f>
        <v>0.22707425657807112</v>
      </c>
      <c r="F515" s="219">
        <v>6714.94</v>
      </c>
      <c r="G515" s="171">
        <f t="shared" ref="G515" si="1600">(F515-F514)/F514</f>
        <v>-2.3672938258299233E-4</v>
      </c>
      <c r="H515" s="203">
        <f t="shared" ref="H515" si="1601">(F515-F$2)/F$2</f>
        <v>0.31880118624427989</v>
      </c>
      <c r="I515" s="221">
        <v>315145.06</v>
      </c>
      <c r="J515" s="173">
        <v>300000</v>
      </c>
      <c r="K515" s="173">
        <f t="shared" ref="K515" si="1602">I515-I514-J515+J514</f>
        <v>1047.5800000000163</v>
      </c>
      <c r="L515" s="171">
        <f t="shared" ref="L515" si="1603">K515/I514</f>
        <v>3.3352066371242976E-3</v>
      </c>
      <c r="M515" s="182">
        <f t="shared" ref="M515" si="1604">I515-J515</f>
        <v>15145.059999999998</v>
      </c>
      <c r="N515" s="184">
        <f t="shared" ref="N515" si="1605">M515/J515</f>
        <v>5.0483533333333323E-2</v>
      </c>
      <c r="O515" s="183">
        <f t="shared" si="991"/>
        <v>2.2820681373762371E-2</v>
      </c>
      <c r="P515" s="182" t="b">
        <f t="shared" ref="P515" si="1606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607">I515-R515</f>
        <v>53621.880000000005</v>
      </c>
      <c r="T515" s="173">
        <v>-42858</v>
      </c>
      <c r="U515" s="173">
        <f t="shared" si="1587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95"/>
        <v>7.6419273949748734E-2</v>
      </c>
      <c r="Y515" s="807">
        <f t="shared" si="1196"/>
        <v>-0.17659072324473779</v>
      </c>
    </row>
    <row r="516" spans="1:25" ht="20.100000000000001" customHeight="1" x14ac:dyDescent="0.25">
      <c r="A516" s="163">
        <f t="shared" si="1576"/>
        <v>809</v>
      </c>
      <c r="B516" s="172">
        <v>43042</v>
      </c>
      <c r="C516" s="215">
        <v>2587.84</v>
      </c>
      <c r="D516" s="171">
        <f t="shared" ref="D516" si="1608">(C516-C515)/C515</f>
        <v>3.0970792875555696E-3</v>
      </c>
      <c r="E516" s="209">
        <f t="shared" ref="E516" si="1609">(C516-$C$2)/$C$2</f>
        <v>0.23087460284241171</v>
      </c>
      <c r="F516" s="219">
        <v>6764.43</v>
      </c>
      <c r="G516" s="171">
        <f t="shared" ref="G516" si="1610">(F516-F515)/F515</f>
        <v>7.3701328679036142E-3</v>
      </c>
      <c r="H516" s="203">
        <f t="shared" ref="H516" si="1611">(F516-F$2)/F$2</f>
        <v>0.32852092621324913</v>
      </c>
      <c r="I516" s="221">
        <v>316040.12</v>
      </c>
      <c r="J516" s="173">
        <v>300000</v>
      </c>
      <c r="K516" s="173">
        <f t="shared" ref="K516" si="1612">I516-I515-J516+J515</f>
        <v>895.05999999999767</v>
      </c>
      <c r="L516" s="171">
        <f t="shared" ref="L516" si="1613">K516/I515</f>
        <v>2.8401524047370367E-3</v>
      </c>
      <c r="M516" s="182">
        <f t="shared" ref="M516" si="1614">I516-J516</f>
        <v>16040.119999999995</v>
      </c>
      <c r="N516" s="184">
        <f t="shared" ref="N516" si="1615">M516/J516</f>
        <v>5.3467066666666653E-2</v>
      </c>
      <c r="O516" s="183">
        <f t="shared" si="991"/>
        <v>2.4139488380716927E-2</v>
      </c>
      <c r="P516" s="182" t="b">
        <f t="shared" ref="P516" si="1616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17">I516-R516</f>
        <v>63159.66</v>
      </c>
      <c r="T516" s="173">
        <v>-42866</v>
      </c>
      <c r="U516" s="173">
        <f t="shared" ref="U516" si="1618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95"/>
        <v>8.0913154802199336E-2</v>
      </c>
      <c r="Y516" s="807">
        <f t="shared" si="1196"/>
        <v>-0.17740753617574506</v>
      </c>
    </row>
    <row r="517" spans="1:25" ht="20.100000000000001" customHeight="1" x14ac:dyDescent="0.25">
      <c r="A517" s="163">
        <f t="shared" si="1576"/>
        <v>812</v>
      </c>
      <c r="B517" s="172">
        <v>43045</v>
      </c>
      <c r="C517" s="215">
        <v>2591.13</v>
      </c>
      <c r="D517" s="171">
        <f t="shared" ref="D517" si="1619">(C517-C516)/C516</f>
        <v>1.2713305304810048E-3</v>
      </c>
      <c r="E517" s="209">
        <f t="shared" ref="E517" si="1620">(C517-$C$2)/$C$2</f>
        <v>0.23243945130419896</v>
      </c>
      <c r="F517" s="219">
        <v>6786.43</v>
      </c>
      <c r="G517" s="171">
        <f t="shared" ref="G517" si="1621">(F517-F516)/F516</f>
        <v>3.2523065505888891E-3</v>
      </c>
      <c r="H517" s="203">
        <f t="shared" ref="H517" si="1622">(F517-F$2)/F$2</f>
        <v>0.33284168352416688</v>
      </c>
      <c r="I517" s="221">
        <v>319399.58</v>
      </c>
      <c r="J517" s="173">
        <v>300000</v>
      </c>
      <c r="K517" s="173">
        <f t="shared" ref="K517" si="1623">I517-I516-J517+J516</f>
        <v>3359.460000000021</v>
      </c>
      <c r="L517" s="171">
        <f t="shared" ref="L517" si="1624">K517/I516</f>
        <v>1.0629852943987052E-2</v>
      </c>
      <c r="M517" s="182">
        <f t="shared" ref="M517" si="1625">I517-J517</f>
        <v>19399.580000000016</v>
      </c>
      <c r="N517" s="184">
        <f t="shared" ref="N517" si="1626">M517/J517</f>
        <v>6.4665266666666721E-2</v>
      </c>
      <c r="O517" s="183">
        <f t="shared" si="991"/>
        <v>2.9087424445812832E-2</v>
      </c>
      <c r="P517" s="182" t="b">
        <f t="shared" ref="P517" si="1627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8">I517-R517</f>
        <v>48028.960000000021</v>
      </c>
      <c r="T517" s="173">
        <v>-42964</v>
      </c>
      <c r="U517" s="173">
        <f t="shared" ref="U517" si="1629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95"/>
        <v>9.7565215937343477E-2</v>
      </c>
      <c r="Y517" s="807">
        <f t="shared" si="1196"/>
        <v>-0.16777418463753224</v>
      </c>
    </row>
    <row r="518" spans="1:25" ht="20.100000000000001" customHeight="1" x14ac:dyDescent="0.25">
      <c r="A518" s="163">
        <f t="shared" si="1576"/>
        <v>813</v>
      </c>
      <c r="B518" s="172">
        <v>43046</v>
      </c>
      <c r="C518" s="215">
        <v>2590.64</v>
      </c>
      <c r="D518" s="171">
        <f t="shared" ref="D518" si="1630">(C518-C517)/C517</f>
        <v>-1.891066831846478E-4</v>
      </c>
      <c r="E518" s="209">
        <f t="shared" ref="E518" si="1631">(C518-$C$2)/$C$2</f>
        <v>0.2322063887673369</v>
      </c>
      <c r="F518" s="219">
        <v>6767.78</v>
      </c>
      <c r="G518" s="171">
        <f t="shared" ref="G518" si="1632">(F518-F517)/F517</f>
        <v>-2.7481311971096064E-3</v>
      </c>
      <c r="H518" s="203">
        <f t="shared" ref="H518" si="1633">(F518-F$2)/F$2</f>
        <v>0.32917885971286603</v>
      </c>
      <c r="I518" s="221">
        <v>318506.81</v>
      </c>
      <c r="J518" s="173">
        <v>300000</v>
      </c>
      <c r="K518" s="173">
        <f t="shared" ref="K518" si="1634">I518-I517-J518+J517</f>
        <v>-892.77000000001863</v>
      </c>
      <c r="L518" s="171">
        <f t="shared" ref="L518" si="1635">K518/I517</f>
        <v>-2.7951508264350837E-3</v>
      </c>
      <c r="M518" s="182">
        <f t="shared" ref="M518" si="1636">I518-J518</f>
        <v>18506.809999999998</v>
      </c>
      <c r="N518" s="184">
        <f t="shared" ref="N518" si="1637">M518/J518</f>
        <v>6.1689366666666662E-2</v>
      </c>
      <c r="O518" s="183">
        <f t="shared" si="991"/>
        <v>2.7714687792127921E-2</v>
      </c>
      <c r="P518" s="182" t="b">
        <f t="shared" ref="P518" si="1638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9">I518-R518</f>
        <v>47135.19</v>
      </c>
      <c r="T518" s="173">
        <v>-42963</v>
      </c>
      <c r="U518" s="173">
        <f t="shared" ref="U518" si="1640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95"/>
        <v>9.3048448817454374E-2</v>
      </c>
      <c r="Y518" s="807">
        <f t="shared" si="1196"/>
        <v>-0.17051702210067024</v>
      </c>
    </row>
    <row r="519" spans="1:25" ht="20.100000000000001" customHeight="1" x14ac:dyDescent="0.25">
      <c r="A519" s="163">
        <f t="shared" si="1576"/>
        <v>814</v>
      </c>
      <c r="B519" s="172">
        <v>43047</v>
      </c>
      <c r="C519" s="215">
        <v>2594.38</v>
      </c>
      <c r="D519" s="171">
        <f t="shared" ref="D519" si="1641">(C519-C518)/C518</f>
        <v>1.4436587098169706E-3</v>
      </c>
      <c r="E519" s="209">
        <f t="shared" ref="E519" si="1642">(C519-$C$2)/$C$2</f>
        <v>0.23398527425277299</v>
      </c>
      <c r="F519" s="219">
        <v>6789.11</v>
      </c>
      <c r="G519" s="171">
        <f t="shared" ref="G519" si="1643">(F519-F518)/F518</f>
        <v>3.1516981934991872E-3</v>
      </c>
      <c r="H519" s="203">
        <f t="shared" ref="H519" si="1644">(F519-F$2)/F$2</f>
        <v>0.33336803032386036</v>
      </c>
      <c r="I519" s="221">
        <v>317938.40999999997</v>
      </c>
      <c r="J519" s="173">
        <v>300000</v>
      </c>
      <c r="K519" s="173">
        <f t="shared" ref="K519" si="1645">I519-I518-J519+J518</f>
        <v>-568.40000000002328</v>
      </c>
      <c r="L519" s="171">
        <f t="shared" ref="L519" si="1646">K519/I518</f>
        <v>-1.7845772277208869E-3</v>
      </c>
      <c r="M519" s="182">
        <f t="shared" ref="M519" si="1647">I519-J519</f>
        <v>17938.409999999974</v>
      </c>
      <c r="N519" s="184">
        <f t="shared" ref="N519" si="1648">M519/J519</f>
        <v>5.9794699999999916E-2</v>
      </c>
      <c r="O519" s="183">
        <f t="shared" ref="O519:O546" si="1649">N519/(A519/365.25)</f>
        <v>2.6830484244471708E-2</v>
      </c>
      <c r="P519" s="182" t="b">
        <f t="shared" ref="P519" si="1650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51">I519-R519</f>
        <v>46565.789999999979</v>
      </c>
      <c r="T519" s="173">
        <v>-42962</v>
      </c>
      <c r="U519" s="173">
        <f t="shared" ref="U519" si="1652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95"/>
        <v>9.0166023542094562E-2</v>
      </c>
      <c r="Y519" s="807">
        <f t="shared" si="1196"/>
        <v>-0.17419057425277307</v>
      </c>
    </row>
    <row r="520" spans="1:25" ht="20.100000000000001" customHeight="1" x14ac:dyDescent="0.25">
      <c r="A520" s="163">
        <f t="shared" si="1576"/>
        <v>815</v>
      </c>
      <c r="B520" s="172">
        <v>43048</v>
      </c>
      <c r="C520" s="215">
        <v>2584.62</v>
      </c>
      <c r="D520" s="171">
        <f t="shared" ref="D520" si="1653">(C520-C519)/C519</f>
        <v>-3.761977813581749E-3</v>
      </c>
      <c r="E520" s="209">
        <f t="shared" ref="E520" si="1654">(C520-$C$2)/$C$2</f>
        <v>0.22934304902874747</v>
      </c>
      <c r="F520" s="219">
        <v>6750.05</v>
      </c>
      <c r="G520" s="171">
        <f t="shared" ref="G520" si="1655">(F520-F519)/F519</f>
        <v>-5.7533314381413014E-3</v>
      </c>
      <c r="H520" s="203">
        <f t="shared" ref="H520" si="1656">(F520-F$2)/F$2</f>
        <v>0.32569672211638556</v>
      </c>
      <c r="I520" s="221">
        <v>318455.09000000003</v>
      </c>
      <c r="J520" s="173">
        <v>300000</v>
      </c>
      <c r="K520" s="173">
        <f t="shared" ref="K520" si="1657">I520-I519-J520+J519</f>
        <v>516.68000000005122</v>
      </c>
      <c r="L520" s="171">
        <f t="shared" ref="L520" si="1658">K520/I519</f>
        <v>1.6250946213137672E-3</v>
      </c>
      <c r="M520" s="182">
        <f t="shared" ref="M520" si="1659">I520-J520</f>
        <v>18455.090000000026</v>
      </c>
      <c r="N520" s="184">
        <f t="shared" ref="N520" si="1660">M520/J520</f>
        <v>6.1516966666666749E-2</v>
      </c>
      <c r="O520" s="183">
        <f t="shared" si="1649"/>
        <v>2.7569413588957092E-2</v>
      </c>
      <c r="P520" s="182" t="b">
        <f t="shared" ref="P520" si="1661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62">I520-R520</f>
        <v>51203.330000000016</v>
      </c>
      <c r="T520" s="173">
        <v>-41764</v>
      </c>
      <c r="U520" s="173">
        <f t="shared" ref="U520" si="1663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95"/>
        <v>9.2738634509431206E-2</v>
      </c>
      <c r="Y520" s="807">
        <f t="shared" si="1196"/>
        <v>-0.16782608236208071</v>
      </c>
    </row>
    <row r="521" spans="1:25" ht="20.100000000000001" customHeight="1" x14ac:dyDescent="0.25">
      <c r="A521" s="163">
        <f t="shared" si="1576"/>
        <v>816</v>
      </c>
      <c r="B521" s="172">
        <v>43049</v>
      </c>
      <c r="C521" s="215">
        <v>2582.3000000000002</v>
      </c>
      <c r="D521" s="171">
        <f t="shared" ref="D521" si="1664">(C521-C520)/C520</f>
        <v>-8.9761744473064085E-4</v>
      </c>
      <c r="E521" s="209">
        <f t="shared" ref="E521" si="1665">(C521-$C$2)/$C$2</f>
        <v>0.2282395692623809</v>
      </c>
      <c r="F521" s="219">
        <v>6750.93</v>
      </c>
      <c r="G521" s="171">
        <f t="shared" ref="G521" si="1666">(F521-F520)/F520</f>
        <v>1.3036940467109267E-4</v>
      </c>
      <c r="H521" s="203">
        <f t="shared" ref="H521" si="1667">(F521-F$2)/F$2</f>
        <v>0.32586955240882232</v>
      </c>
      <c r="I521" s="221">
        <v>318102.55</v>
      </c>
      <c r="J521" s="173">
        <v>300000</v>
      </c>
      <c r="K521" s="173">
        <f t="shared" ref="K521" si="1668">I521-I520-J521+J520</f>
        <v>-352.54000000003725</v>
      </c>
      <c r="L521" s="171">
        <f t="shared" ref="L521" si="1669">K521/I520</f>
        <v>-1.1070320778984479E-3</v>
      </c>
      <c r="M521" s="182">
        <f t="shared" ref="M521" si="1670">I521-J521</f>
        <v>18102.549999999988</v>
      </c>
      <c r="N521" s="184">
        <f t="shared" ref="N521" si="1671">M521/J521</f>
        <v>6.0341833333333296E-2</v>
      </c>
      <c r="O521" s="183">
        <f t="shared" si="1649"/>
        <v>2.7009625765931359E-2</v>
      </c>
      <c r="P521" s="182" t="b">
        <f t="shared" ref="P521" si="1672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73">I521-R521</f>
        <v>51203.330000000016</v>
      </c>
      <c r="T521" s="173">
        <v>-41821</v>
      </c>
      <c r="U521" s="173">
        <f t="shared" ref="U521" si="1674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95"/>
        <v>9.0942826402317448E-2</v>
      </c>
      <c r="Y521" s="807">
        <f t="shared" si="1196"/>
        <v>-0.16789773592904761</v>
      </c>
    </row>
    <row r="522" spans="1:25" ht="20.100000000000001" customHeight="1" x14ac:dyDescent="0.25">
      <c r="A522" s="163">
        <f t="shared" si="1576"/>
        <v>819</v>
      </c>
      <c r="B522" s="172">
        <v>43052</v>
      </c>
      <c r="C522" s="215">
        <v>2584.84</v>
      </c>
      <c r="D522" s="171">
        <f t="shared" ref="D522" si="1675">(C522-C521)/C521</f>
        <v>9.836192541532601E-4</v>
      </c>
      <c r="E522" s="209">
        <f t="shared" ref="E522" si="1676">(C522-$C$2)/$C$2</f>
        <v>0.22944768935142029</v>
      </c>
      <c r="F522" s="219">
        <v>6757.59</v>
      </c>
      <c r="G522" s="171">
        <f t="shared" ref="G522" si="1677">(F522-F521)/F521</f>
        <v>9.865307446529374E-4</v>
      </c>
      <c r="H522" s="203">
        <f t="shared" ref="H522" si="1678">(F522-F$2)/F$2</f>
        <v>0.32717756348567284</v>
      </c>
      <c r="I522" s="221">
        <v>317452.71000000002</v>
      </c>
      <c r="J522" s="173">
        <v>300000</v>
      </c>
      <c r="K522" s="173">
        <f t="shared" ref="K522" si="1679">I522-I521-J522+J521</f>
        <v>-649.8399999999674</v>
      </c>
      <c r="L522" s="171">
        <f t="shared" ref="L522" si="1680">K522/I521</f>
        <v>-2.0428632213101323E-3</v>
      </c>
      <c r="M522" s="182">
        <f t="shared" ref="M522" si="1681">I522-J522</f>
        <v>17452.710000000021</v>
      </c>
      <c r="N522" s="184">
        <f t="shared" ref="N522" si="1682">M522/J522</f>
        <v>5.8175700000000073E-2</v>
      </c>
      <c r="O522" s="183">
        <f t="shared" si="1649"/>
        <v>2.5944657417582447E-2</v>
      </c>
      <c r="P522" s="182" t="b">
        <f t="shared" ref="P522" si="1683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84">I522-R522</f>
        <v>52029.25</v>
      </c>
      <c r="T522" s="173">
        <v>-41650</v>
      </c>
      <c r="U522" s="173">
        <f t="shared" ref="U522" si="1685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95"/>
        <v>8.7439811528140551E-2</v>
      </c>
      <c r="Y522" s="807">
        <f t="shared" si="1196"/>
        <v>-0.17127198935142021</v>
      </c>
    </row>
    <row r="523" spans="1:25" ht="20.100000000000001" customHeight="1" x14ac:dyDescent="0.25">
      <c r="A523" s="163">
        <f t="shared" si="1576"/>
        <v>820</v>
      </c>
      <c r="B523" s="172">
        <v>43053</v>
      </c>
      <c r="C523" s="215">
        <v>2578.87</v>
      </c>
      <c r="D523" s="171">
        <f t="shared" ref="D523" si="1686">(C523-C522)/C522</f>
        <v>-2.309620711533501E-3</v>
      </c>
      <c r="E523" s="209">
        <f t="shared" ref="E523" si="1687">(C523-$C$2)/$C$2</f>
        <v>0.22660813150434725</v>
      </c>
      <c r="F523" s="219">
        <v>6737.87</v>
      </c>
      <c r="G523" s="171">
        <f t="shared" ref="G523" si="1688">(F523-F522)/F522</f>
        <v>-2.9182001275603071E-3</v>
      </c>
      <c r="H523" s="203">
        <f t="shared" ref="H523" si="1689">(F523-F$2)/F$2</f>
        <v>0.32330459375061377</v>
      </c>
      <c r="I523" s="221">
        <v>315348.65000000002</v>
      </c>
      <c r="J523" s="173">
        <v>300000</v>
      </c>
      <c r="K523" s="173">
        <f t="shared" ref="K523" si="1690">I523-I522-J523+J522</f>
        <v>-2104.0599999999977</v>
      </c>
      <c r="L523" s="171">
        <f t="shared" ref="L523" si="1691">K523/I522</f>
        <v>-6.627947828827788E-3</v>
      </c>
      <c r="M523" s="182">
        <f t="shared" ref="M523" si="1692">I523-J523</f>
        <v>15348.650000000023</v>
      </c>
      <c r="N523" s="184">
        <f t="shared" ref="N523" si="1693">M523/J523</f>
        <v>5.1162166666666745E-2</v>
      </c>
      <c r="O523" s="183">
        <f t="shared" si="1649"/>
        <v>2.2789001676829301E-2</v>
      </c>
      <c r="P523" s="182" t="b">
        <f t="shared" ref="P523" si="1694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95">I523-R523</f>
        <v>51013.590000000026</v>
      </c>
      <c r="T523" s="173">
        <v>-42023</v>
      </c>
      <c r="U523" s="173">
        <f t="shared" ref="U523" si="1696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95"/>
        <v>7.6867867447449001E-2</v>
      </c>
      <c r="Y523" s="807">
        <f t="shared" si="1196"/>
        <v>-0.17544596483768049</v>
      </c>
    </row>
    <row r="524" spans="1:25" ht="20.100000000000001" customHeight="1" x14ac:dyDescent="0.25">
      <c r="A524" s="163">
        <f t="shared" si="1576"/>
        <v>821</v>
      </c>
      <c r="B524" s="172">
        <v>43054</v>
      </c>
      <c r="C524" s="215">
        <v>2564.62</v>
      </c>
      <c r="D524" s="171">
        <f t="shared" ref="D524" si="1697">(C524-C523)/C523</f>
        <v>-5.5256759743608636E-3</v>
      </c>
      <c r="E524" s="209">
        <f t="shared" ref="E524" si="1698">(C524-$C$2)/$C$2</f>
        <v>0.219830292422138</v>
      </c>
      <c r="F524" s="219">
        <v>6706.2</v>
      </c>
      <c r="G524" s="171">
        <f t="shared" ref="G524" si="1699">(F524-F523)/F523</f>
        <v>-4.7002984622736971E-3</v>
      </c>
      <c r="H524" s="203">
        <f t="shared" ref="H524" si="1700">(F524-F$2)/F$2</f>
        <v>0.31708466720348805</v>
      </c>
      <c r="I524" s="221">
        <v>313226.95</v>
      </c>
      <c r="J524" s="173">
        <v>300000</v>
      </c>
      <c r="K524" s="173">
        <f t="shared" ref="K524" si="1701">I524-I523-J524+J523</f>
        <v>-2121.7000000000116</v>
      </c>
      <c r="L524" s="171">
        <f t="shared" ref="L524" si="1702">K524/I523</f>
        <v>-6.7281087139583803E-3</v>
      </c>
      <c r="M524" s="182">
        <f t="shared" ref="M524" si="1703">I524-J524</f>
        <v>13226.950000000012</v>
      </c>
      <c r="N524" s="184">
        <f t="shared" ref="N524" si="1704">M524/J524</f>
        <v>4.408983333333337E-2</v>
      </c>
      <c r="O524" s="183">
        <f t="shared" si="1649"/>
        <v>1.9614874086479918E-2</v>
      </c>
      <c r="P524" s="182" t="b">
        <f t="shared" ref="P524" si="1705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706">I524-R524</f>
        <v>51013.590000000026</v>
      </c>
      <c r="T524" s="173">
        <v>-42790</v>
      </c>
      <c r="U524" s="173">
        <f t="shared" ref="U524" si="1707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95"/>
        <v>6.6215712753913566E-2</v>
      </c>
      <c r="Y524" s="807">
        <f t="shared" si="1196"/>
        <v>-0.17574045908880465</v>
      </c>
    </row>
    <row r="525" spans="1:25" ht="20.100000000000001" customHeight="1" x14ac:dyDescent="0.25">
      <c r="A525" s="163">
        <f t="shared" si="1576"/>
        <v>822</v>
      </c>
      <c r="B525" s="172">
        <v>43055</v>
      </c>
      <c r="C525" s="215">
        <v>2585.64</v>
      </c>
      <c r="D525" s="171">
        <f t="shared" ref="D525" si="1708">(C525-C524)/C524</f>
        <v>8.1961460177336146E-3</v>
      </c>
      <c r="E525" s="209">
        <f t="shared" ref="E525" si="1709">(C525-$C$2)/$C$2</f>
        <v>0.22982819961568454</v>
      </c>
      <c r="F525" s="219">
        <v>6793.29</v>
      </c>
      <c r="G525" s="171">
        <f t="shared" ref="G525" si="1710">(F525-F524)/F524</f>
        <v>1.2986490113626219E-2</v>
      </c>
      <c r="H525" s="203">
        <f t="shared" ref="H525" si="1711">(F525-F$2)/F$2</f>
        <v>0.33418897421293481</v>
      </c>
      <c r="I525" s="221">
        <v>314306.15000000002</v>
      </c>
      <c r="J525" s="173">
        <v>300000</v>
      </c>
      <c r="K525" s="173">
        <f t="shared" ref="K525" si="1712">I525-I524-J525+J524</f>
        <v>1079.2000000000116</v>
      </c>
      <c r="L525" s="171">
        <f t="shared" ref="L525:L535" si="1713">K525/I524</f>
        <v>3.4454251142821894E-3</v>
      </c>
      <c r="M525" s="182">
        <f t="shared" ref="M525" si="1714">I525-J525</f>
        <v>14306.150000000023</v>
      </c>
      <c r="N525" s="184">
        <f t="shared" ref="N525" si="1715">M525/J525</f>
        <v>4.7687166666666746E-2</v>
      </c>
      <c r="O525" s="183">
        <f t="shared" si="1649"/>
        <v>2.1189461830900279E-2</v>
      </c>
      <c r="P525" s="182" t="b">
        <f t="shared" ref="P525" si="1716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17">I525-R525</f>
        <v>51013.590000000026</v>
      </c>
      <c r="T525" s="173">
        <v>-41450</v>
      </c>
      <c r="U525" s="173">
        <f t="shared" ref="U525" si="1718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95"/>
        <v>7.1597997431621804E-2</v>
      </c>
      <c r="Y525" s="807">
        <f t="shared" si="1196"/>
        <v>-0.18214103294901779</v>
      </c>
    </row>
    <row r="526" spans="1:25" ht="20.100000000000001" customHeight="1" x14ac:dyDescent="0.25">
      <c r="A526" s="163">
        <f t="shared" si="1576"/>
        <v>823</v>
      </c>
      <c r="B526" s="172">
        <v>43056</v>
      </c>
      <c r="C526" s="215">
        <v>2578.85</v>
      </c>
      <c r="D526" s="171">
        <f t="shared" ref="D526:D535" si="1719">(C526-C525)/C525</f>
        <v>-2.626042295137747E-3</v>
      </c>
      <c r="E526" s="209">
        <f t="shared" ref="E526" si="1720">(C526-$C$2)/$C$2</f>
        <v>0.22659861874774065</v>
      </c>
      <c r="F526" s="219">
        <v>6782.79</v>
      </c>
      <c r="G526" s="171">
        <f t="shared" ref="G526:G535" si="1721">(F526-F525)/F525</f>
        <v>-1.5456428328541841E-3</v>
      </c>
      <c r="H526" s="203">
        <f t="shared" ref="H526:H531" si="1722">(F526-F$2)/F$2</f>
        <v>0.33212679458726951</v>
      </c>
      <c r="I526" s="221">
        <v>321104.7</v>
      </c>
      <c r="J526" s="173">
        <v>300000</v>
      </c>
      <c r="K526" s="173">
        <f t="shared" ref="K526:K531" si="1723">I526-I525-J526+J525</f>
        <v>6798.5499999999884</v>
      </c>
      <c r="L526" s="171">
        <f t="shared" si="1713"/>
        <v>2.1630343536071399E-2</v>
      </c>
      <c r="M526" s="182">
        <f t="shared" ref="M526" si="1724">I526-J526</f>
        <v>21104.700000000012</v>
      </c>
      <c r="N526" s="184">
        <f t="shared" ref="N526" si="1725">M526/J526</f>
        <v>7.0349000000000037E-2</v>
      </c>
      <c r="O526" s="183">
        <f t="shared" si="1649"/>
        <v>3.1221108444714474E-2</v>
      </c>
      <c r="P526" s="182" t="b">
        <f t="shared" ref="P526" si="1726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27">I526-R526</f>
        <v>55529.489999999991</v>
      </c>
      <c r="T526" s="173">
        <v>-39110</v>
      </c>
      <c r="U526" s="173">
        <f t="shared" ref="U526" si="1728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95"/>
        <v>0.10546494192346734</v>
      </c>
      <c r="Y526" s="807">
        <f t="shared" si="1196"/>
        <v>-0.15624961874774063</v>
      </c>
    </row>
    <row r="527" spans="1:25" ht="20.100000000000001" customHeight="1" x14ac:dyDescent="0.25">
      <c r="A527" s="163">
        <f t="shared" si="1576"/>
        <v>826</v>
      </c>
      <c r="B527" s="172">
        <v>43059</v>
      </c>
      <c r="C527" s="215">
        <v>2582.14</v>
      </c>
      <c r="D527" s="171">
        <f t="shared" si="1719"/>
        <v>1.2757624522558365E-3</v>
      </c>
      <c r="E527" s="209">
        <f t="shared" ref="E527" si="1729">(C527-$C$2)/$C$2</f>
        <v>0.22816346720952788</v>
      </c>
      <c r="F527" s="219">
        <v>6790.71</v>
      </c>
      <c r="G527" s="171">
        <f t="shared" si="1721"/>
        <v>1.1676610952130425E-3</v>
      </c>
      <c r="H527" s="203">
        <f t="shared" si="1722"/>
        <v>0.33368226721919991</v>
      </c>
      <c r="I527" s="221">
        <v>317244.77</v>
      </c>
      <c r="J527" s="173">
        <v>300000</v>
      </c>
      <c r="K527" s="173">
        <f t="shared" si="1723"/>
        <v>-3859.929999999993</v>
      </c>
      <c r="L527" s="171">
        <f t="shared" si="1713"/>
        <v>-1.2020783252316123E-2</v>
      </c>
      <c r="M527" s="182">
        <f t="shared" ref="M527" si="1730">I527-J527</f>
        <v>17244.770000000019</v>
      </c>
      <c r="N527" s="184">
        <f t="shared" ref="N527" si="1731">M527/J527</f>
        <v>5.7482566666666728E-2</v>
      </c>
      <c r="O527" s="183">
        <f t="shared" si="1649"/>
        <v>2.5418289921307534E-2</v>
      </c>
      <c r="P527" s="182" t="b">
        <f t="shared" ref="P527" si="1732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33">I527-R527</f>
        <v>47792.119999999995</v>
      </c>
      <c r="T527" s="173">
        <v>-39516</v>
      </c>
      <c r="U527" s="173">
        <f t="shared" ref="U527" si="1734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95"/>
        <v>8.5908347346947647E-2</v>
      </c>
      <c r="Y527" s="807">
        <f t="shared" si="1196"/>
        <v>-0.17068090054286114</v>
      </c>
    </row>
    <row r="528" spans="1:25" ht="20.100000000000001" customHeight="1" x14ac:dyDescent="0.25">
      <c r="A528" s="163">
        <f t="shared" si="1576"/>
        <v>827</v>
      </c>
      <c r="B528" s="172">
        <v>43060</v>
      </c>
      <c r="C528" s="215">
        <v>2599.0300000000002</v>
      </c>
      <c r="D528" s="171">
        <f t="shared" si="1719"/>
        <v>6.5410860758906677E-3</v>
      </c>
      <c r="E528" s="209">
        <f t="shared" ref="E528" si="1735">(C528-$C$2)/$C$2</f>
        <v>0.23619699016380974</v>
      </c>
      <c r="F528" s="219">
        <v>6862.47</v>
      </c>
      <c r="G528" s="171">
        <f t="shared" si="1721"/>
        <v>1.0567378079758997E-2</v>
      </c>
      <c r="H528" s="203">
        <f t="shared" si="1722"/>
        <v>0.34777579197517539</v>
      </c>
      <c r="I528" s="221">
        <v>314456.46999999997</v>
      </c>
      <c r="J528" s="173">
        <v>300000</v>
      </c>
      <c r="K528" s="173">
        <f t="shared" si="1723"/>
        <v>-2788.3000000000466</v>
      </c>
      <c r="L528" s="171">
        <f t="shared" si="1713"/>
        <v>-8.7891125833218509E-3</v>
      </c>
      <c r="M528" s="182">
        <f t="shared" ref="M528" si="1736">I528-J528</f>
        <v>14456.469999999972</v>
      </c>
      <c r="N528" s="184">
        <f t="shared" ref="N528" si="1737">M528/J528</f>
        <v>4.818823333333324E-2</v>
      </c>
      <c r="O528" s="183">
        <f t="shared" si="1649"/>
        <v>2.1282650816203105E-2</v>
      </c>
      <c r="P528" s="182" t="b">
        <f t="shared" ref="P528" si="1738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9">I528-R528</f>
        <v>49267.01999999996</v>
      </c>
      <c r="T528" s="173">
        <v>-40292</v>
      </c>
      <c r="U528" s="173">
        <f t="shared" ref="U528" si="1740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95"/>
        <v>7.1982585329888854E-2</v>
      </c>
      <c r="Y528" s="807">
        <f t="shared" si="1196"/>
        <v>-0.18800875683047649</v>
      </c>
    </row>
    <row r="529" spans="1:25" ht="20.100000000000001" customHeight="1" x14ac:dyDescent="0.25">
      <c r="A529" s="163">
        <f t="shared" si="1576"/>
        <v>828</v>
      </c>
      <c r="B529" s="172">
        <v>43061</v>
      </c>
      <c r="C529" s="215">
        <v>2597.08</v>
      </c>
      <c r="D529" s="171">
        <f t="shared" si="1719"/>
        <v>-7.5027991212116545E-4</v>
      </c>
      <c r="E529" s="209">
        <f t="shared" ref="E529" si="1741">(C529-$C$2)/$C$2</f>
        <v>0.23526949639466518</v>
      </c>
      <c r="F529" s="219">
        <v>6867.36</v>
      </c>
      <c r="G529" s="171">
        <f t="shared" si="1721"/>
        <v>7.1257142107716582E-4</v>
      </c>
      <c r="H529" s="203">
        <f t="shared" si="1722"/>
        <v>0.34873617848655653</v>
      </c>
      <c r="I529" s="221">
        <v>318417.02</v>
      </c>
      <c r="J529" s="173">
        <v>300000</v>
      </c>
      <c r="K529" s="173">
        <f t="shared" si="1723"/>
        <v>3960.5500000000466</v>
      </c>
      <c r="L529" s="171">
        <f t="shared" si="1713"/>
        <v>1.259490701527002E-2</v>
      </c>
      <c r="M529" s="182">
        <f t="shared" ref="M529" si="1742">I529-J529</f>
        <v>18417.020000000019</v>
      </c>
      <c r="N529" s="184">
        <f t="shared" ref="N529" si="1743">M529/J529</f>
        <v>6.1390066666666729E-2</v>
      </c>
      <c r="O529" s="183">
        <f t="shared" si="1649"/>
        <v>2.7080581944444473E-2</v>
      </c>
      <c r="P529" s="182" t="b">
        <f t="shared" ref="P529" si="1744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45">I529-R529</f>
        <v>49267.020000000019</v>
      </c>
      <c r="T529" s="173">
        <v>-40272</v>
      </c>
      <c r="U529" s="173">
        <f t="shared" ref="U529" si="1746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95"/>
        <v>9.1642427770959586E-2</v>
      </c>
      <c r="Y529" s="807">
        <f t="shared" si="1196"/>
        <v>-0.17387942972799847</v>
      </c>
    </row>
    <row r="530" spans="1:25" ht="20.100000000000001" customHeight="1" x14ac:dyDescent="0.25">
      <c r="A530" s="163">
        <f t="shared" si="1576"/>
        <v>830</v>
      </c>
      <c r="B530" s="172">
        <v>43063</v>
      </c>
      <c r="C530" s="215">
        <v>2602.42</v>
      </c>
      <c r="D530" s="171">
        <f t="shared" si="1719"/>
        <v>2.0561553744975689E-3</v>
      </c>
      <c r="E530" s="209">
        <f t="shared" ref="E530" si="1747">(C530-$C$2)/$C$2</f>
        <v>0.23780940240862997</v>
      </c>
      <c r="F530" s="219">
        <v>6889.16</v>
      </c>
      <c r="G530" s="171">
        <f t="shared" si="1721"/>
        <v>3.1744367559004018E-3</v>
      </c>
      <c r="H530" s="203">
        <f t="shared" si="1722"/>
        <v>0.35301765618555692</v>
      </c>
      <c r="I530" s="221">
        <v>319044.73</v>
      </c>
      <c r="J530" s="173">
        <v>300000</v>
      </c>
      <c r="K530" s="173">
        <f t="shared" si="1723"/>
        <v>627.70999999996275</v>
      </c>
      <c r="L530" s="171">
        <f t="shared" si="1713"/>
        <v>1.9713456271902886E-3</v>
      </c>
      <c r="M530" s="182">
        <f t="shared" ref="M530" si="1748">I530-J530</f>
        <v>19044.729999999981</v>
      </c>
      <c r="N530" s="184">
        <f t="shared" ref="N530" si="1749">M530/J530</f>
        <v>6.3482433333333269E-2</v>
      </c>
      <c r="O530" s="183">
        <f t="shared" si="1649"/>
        <v>2.7936094909638529E-2</v>
      </c>
      <c r="P530" s="182" t="b">
        <f t="shared" ref="P530" si="1750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51">I530-R530</f>
        <v>52842.880000000005</v>
      </c>
      <c r="T530" s="173">
        <v>-39912</v>
      </c>
      <c r="U530" s="173">
        <f t="shared" ref="U530" si="1752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95"/>
        <v>9.4626754892436604E-2</v>
      </c>
      <c r="Y530" s="807">
        <f t="shared" si="1196"/>
        <v>-0.17432696907529671</v>
      </c>
    </row>
    <row r="531" spans="1:25" ht="20.100000000000001" customHeight="1" x14ac:dyDescent="0.25">
      <c r="A531" s="163">
        <f t="shared" si="1576"/>
        <v>833</v>
      </c>
      <c r="B531" s="172">
        <v>43066</v>
      </c>
      <c r="C531" s="215">
        <v>2601.42</v>
      </c>
      <c r="D531" s="171">
        <f t="shared" si="1719"/>
        <v>-3.8425772934422574E-4</v>
      </c>
      <c r="E531" s="209">
        <f t="shared" ref="E531" si="1753">(C531-$C$2)/$C$2</f>
        <v>0.23733376457829949</v>
      </c>
      <c r="F531" s="219">
        <v>6878.52</v>
      </c>
      <c r="G531" s="171">
        <f t="shared" si="1721"/>
        <v>-1.5444553472410887E-3</v>
      </c>
      <c r="H531" s="203">
        <f t="shared" si="1722"/>
        <v>0.35092798083154952</v>
      </c>
      <c r="I531" s="221">
        <v>316554.36</v>
      </c>
      <c r="J531" s="173">
        <v>300000</v>
      </c>
      <c r="K531" s="173">
        <f t="shared" si="1723"/>
        <v>-2490.3699999999953</v>
      </c>
      <c r="L531" s="171">
        <f t="shared" si="1713"/>
        <v>-7.8057079958662708E-3</v>
      </c>
      <c r="M531" s="182">
        <f t="shared" ref="M531" si="1754">I531-J531</f>
        <v>16554.359999999986</v>
      </c>
      <c r="N531" s="184">
        <f t="shared" ref="N531" si="1755">M531/J531</f>
        <v>5.5181199999999951E-2</v>
      </c>
      <c r="O531" s="183">
        <f t="shared" si="1649"/>
        <v>2.4195598199279689E-2</v>
      </c>
      <c r="P531" s="182" t="b">
        <f t="shared" ref="P531" si="1756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57">I531-R531</f>
        <v>55800.81</v>
      </c>
      <c r="T531" s="173">
        <v>-39552</v>
      </c>
      <c r="U531" s="173">
        <f t="shared" ref="U531" si="1758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95"/>
        <v>8.2019161824576386E-2</v>
      </c>
      <c r="Y531" s="807">
        <f t="shared" si="1196"/>
        <v>-0.18215256457829954</v>
      </c>
    </row>
    <row r="532" spans="1:25" ht="20.100000000000001" customHeight="1" x14ac:dyDescent="0.25">
      <c r="A532" s="163">
        <f t="shared" si="1576"/>
        <v>834</v>
      </c>
      <c r="B532" s="172">
        <v>43067</v>
      </c>
      <c r="C532" s="215">
        <v>2627.04</v>
      </c>
      <c r="D532" s="171">
        <f t="shared" si="1719"/>
        <v>9.8484673755102562E-3</v>
      </c>
      <c r="E532" s="209">
        <f t="shared" ref="E532" si="1759">(C532-$C$2)/$C$2</f>
        <v>0.24951960579136617</v>
      </c>
      <c r="F532" s="219">
        <v>6912.35</v>
      </c>
      <c r="G532" s="171">
        <f t="shared" si="1721"/>
        <v>4.9182091496426444E-3</v>
      </c>
      <c r="H532" s="203">
        <f t="shared" ref="H532" si="1760">(F532-F$2)/F$2</f>
        <v>0.35757212718738351</v>
      </c>
      <c r="I532" s="221">
        <v>320874.51</v>
      </c>
      <c r="J532" s="173">
        <v>300000</v>
      </c>
      <c r="K532" s="173">
        <f t="shared" ref="K532" si="1761">I532-I531-J532+J531</f>
        <v>4320.1500000000233</v>
      </c>
      <c r="L532" s="171">
        <f t="shared" si="1713"/>
        <v>1.364741904044545E-2</v>
      </c>
      <c r="M532" s="182">
        <f t="shared" ref="M532" si="1762">I532-J532</f>
        <v>20874.510000000009</v>
      </c>
      <c r="N532" s="184">
        <f t="shared" ref="N532" si="1763">M532/J532</f>
        <v>6.9581700000000038E-2</v>
      </c>
      <c r="O532" s="183">
        <f t="shared" si="1649"/>
        <v>3.0473280485611525E-2</v>
      </c>
      <c r="P532" s="182" t="b">
        <f t="shared" ref="P532" si="1764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65">I532-R532</f>
        <v>55800.81</v>
      </c>
      <c r="T532" s="173">
        <v>-38368</v>
      </c>
      <c r="U532" s="173">
        <f t="shared" ref="U532" si="1766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95"/>
        <v>0.10334785812512559</v>
      </c>
      <c r="Y532" s="807">
        <f t="shared" si="1196"/>
        <v>-0.17993790579136615</v>
      </c>
    </row>
    <row r="533" spans="1:25" ht="20.100000000000001" customHeight="1" x14ac:dyDescent="0.25">
      <c r="A533" s="163">
        <f t="shared" si="1576"/>
        <v>835</v>
      </c>
      <c r="B533" s="172">
        <v>43068</v>
      </c>
      <c r="C533" s="215">
        <v>2626.07</v>
      </c>
      <c r="D533" s="171">
        <f t="shared" si="1719"/>
        <v>-3.6923685973559592E-4</v>
      </c>
      <c r="E533" s="209">
        <f t="shared" ref="E533" si="1767">(C533-$C$2)/$C$2</f>
        <v>0.24905823709594571</v>
      </c>
      <c r="F533" s="219">
        <v>6824.38</v>
      </c>
      <c r="G533" s="171">
        <f t="shared" si="1721"/>
        <v>-1.2726496777506962E-2</v>
      </c>
      <c r="H533" s="203">
        <f t="shared" ref="H533" si="1768">(F533-F$2)/F$2</f>
        <v>0.3402949898855</v>
      </c>
      <c r="I533" s="221">
        <v>325656.67</v>
      </c>
      <c r="J533" s="173">
        <v>300000</v>
      </c>
      <c r="K533" s="173">
        <f t="shared" ref="K533" si="1769">I533-I532-J533+J532</f>
        <v>4782.1599999999744</v>
      </c>
      <c r="L533" s="171">
        <f t="shared" si="1713"/>
        <v>1.4903521005766317E-2</v>
      </c>
      <c r="M533" s="182">
        <f t="shared" ref="M533" si="1770">I533-J533</f>
        <v>25656.669999999984</v>
      </c>
      <c r="N533" s="184">
        <f t="shared" ref="N533" si="1771">M533/J533</f>
        <v>8.5522233333333281E-2</v>
      </c>
      <c r="O533" s="183">
        <f t="shared" si="1649"/>
        <v>3.7409575718562849E-2</v>
      </c>
      <c r="P533" s="182" t="b">
        <f t="shared" ref="P533" si="1772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73">I533-R533</f>
        <v>72171.669999999984</v>
      </c>
      <c r="T533" s="173">
        <v>-37392</v>
      </c>
      <c r="U533" s="173">
        <f t="shared" ref="U533" si="1774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95"/>
        <v>0.12691921480624277</v>
      </c>
      <c r="Y533" s="807">
        <f t="shared" si="1196"/>
        <v>-0.16353600376261243</v>
      </c>
    </row>
    <row r="534" spans="1:25" ht="20.100000000000001" customHeight="1" x14ac:dyDescent="0.25">
      <c r="A534" s="163">
        <f t="shared" si="1576"/>
        <v>836</v>
      </c>
      <c r="B534" s="172">
        <v>43069</v>
      </c>
      <c r="C534" s="215">
        <v>2647.58</v>
      </c>
      <c r="D534" s="171">
        <f t="shared" si="1719"/>
        <v>8.1909469282996118E-3</v>
      </c>
      <c r="E534" s="209">
        <f t="shared" ref="E534:E535" si="1775">(C534-$C$2)/$C$2</f>
        <v>0.25928920682635409</v>
      </c>
      <c r="F534" s="219">
        <v>6873.97</v>
      </c>
      <c r="G534" s="171">
        <f t="shared" si="1721"/>
        <v>7.2665941814494713E-3</v>
      </c>
      <c r="H534" s="203">
        <f t="shared" ref="H534:H535" si="1776">(F534-F$2)/F$2</f>
        <v>0.35003436966042784</v>
      </c>
      <c r="I534" s="472">
        <v>329885.27</v>
      </c>
      <c r="J534" s="173">
        <v>300000</v>
      </c>
      <c r="K534" s="173">
        <f t="shared" ref="K534:K535" si="1777">I534-I533-J534+J533</f>
        <v>4228.6000000000349</v>
      </c>
      <c r="L534" s="171">
        <f t="shared" si="1713"/>
        <v>1.2984840752686059E-2</v>
      </c>
      <c r="M534" s="472">
        <f t="shared" ref="M534:M535" si="1778">I534-J534</f>
        <v>29885.270000000019</v>
      </c>
      <c r="N534" s="184">
        <f t="shared" ref="N534:N535" si="1779">M534/J534</f>
        <v>9.9617566666666726E-2</v>
      </c>
      <c r="O534" s="183">
        <f t="shared" si="1649"/>
        <v>4.3523105532296678E-2</v>
      </c>
      <c r="P534" s="182" t="b">
        <f t="shared" ref="P534:P535" si="1780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81">I534-R534</f>
        <v>94288.870000000024</v>
      </c>
      <c r="T534" s="173">
        <v>-34548</v>
      </c>
      <c r="U534" s="173">
        <f t="shared" ref="U534:U535" si="1782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95"/>
        <v>0.14773671864396828</v>
      </c>
      <c r="Y534" s="807">
        <f t="shared" si="1196"/>
        <v>-0.15967164015968738</v>
      </c>
    </row>
    <row r="535" spans="1:25" ht="20.100000000000001" customHeight="1" x14ac:dyDescent="0.25">
      <c r="A535" s="163">
        <f t="shared" si="1576"/>
        <v>837</v>
      </c>
      <c r="B535" s="172">
        <v>43070</v>
      </c>
      <c r="C535" s="215">
        <v>2642.22</v>
      </c>
      <c r="D535" s="171">
        <f t="shared" si="1719"/>
        <v>-2.0244902892453212E-3</v>
      </c>
      <c r="E535" s="209">
        <f t="shared" si="1775"/>
        <v>0.25673978805578268</v>
      </c>
      <c r="F535" s="219">
        <v>6847.58</v>
      </c>
      <c r="G535" s="171">
        <f t="shared" si="1721"/>
        <v>-3.839120624617263E-3</v>
      </c>
      <c r="H535" s="203">
        <f t="shared" si="1776"/>
        <v>0.34485142486792236</v>
      </c>
      <c r="I535" s="221">
        <v>330901.76000000001</v>
      </c>
      <c r="J535" s="173">
        <v>300000</v>
      </c>
      <c r="K535" s="173">
        <f t="shared" si="1777"/>
        <v>1016.4899999999907</v>
      </c>
      <c r="L535" s="171">
        <f t="shared" si="1713"/>
        <v>3.0813440078727695E-3</v>
      </c>
      <c r="M535" s="182">
        <f t="shared" si="1778"/>
        <v>30901.760000000009</v>
      </c>
      <c r="N535" s="184">
        <f t="shared" si="1779"/>
        <v>0.1030058666666667</v>
      </c>
      <c r="O535" s="183">
        <f t="shared" si="1649"/>
        <v>4.4949692712066919E-2</v>
      </c>
      <c r="P535" s="182" t="b">
        <f t="shared" si="1780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81"/>
        <v>97384.360000000015</v>
      </c>
      <c r="T535" s="173">
        <v>-34852</v>
      </c>
      <c r="U535" s="173">
        <f t="shared" si="1782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95"/>
        <v>0.15272002675940854</v>
      </c>
      <c r="Y535" s="807">
        <f t="shared" si="1196"/>
        <v>-0.15373392138911599</v>
      </c>
    </row>
    <row r="536" spans="1:25" ht="20.100000000000001" customHeight="1" x14ac:dyDescent="0.25">
      <c r="A536" s="163">
        <f t="shared" si="1576"/>
        <v>840</v>
      </c>
      <c r="B536" s="172">
        <v>43073</v>
      </c>
      <c r="C536" s="215">
        <v>2639.44</v>
      </c>
      <c r="D536" s="171">
        <f t="shared" ref="D536" si="1783">(C536-C535)/C535</f>
        <v>-1.0521455442770646E-3</v>
      </c>
      <c r="E536" s="209">
        <f t="shared" ref="E536" si="1784">(C536-$C$2)/$C$2</f>
        <v>0.25541751488746406</v>
      </c>
      <c r="F536" s="219">
        <v>6775.36</v>
      </c>
      <c r="G536" s="171">
        <f t="shared" ref="G536" si="1785">(F536-F535)/F535</f>
        <v>-1.0546791713276845E-2</v>
      </c>
      <c r="H536" s="203">
        <f t="shared" ref="H536" si="1786">(F536-F$2)/F$2</f>
        <v>0.33066755700453676</v>
      </c>
      <c r="I536" s="221">
        <v>332631.36</v>
      </c>
      <c r="J536" s="173">
        <v>300000</v>
      </c>
      <c r="K536" s="173">
        <f t="shared" ref="K536" si="1787">I536-I535-J536+J535</f>
        <v>1729.5999999999767</v>
      </c>
      <c r="L536" s="171">
        <f t="shared" ref="L536" si="1788">K536/I535</f>
        <v>5.2269289833936717E-3</v>
      </c>
      <c r="M536" s="182">
        <f t="shared" ref="M536" si="1789">I536-J536</f>
        <v>32631.359999999986</v>
      </c>
      <c r="N536" s="184">
        <f t="shared" ref="N536" si="1790">M536/J536</f>
        <v>0.10877119999999996</v>
      </c>
      <c r="O536" s="183">
        <f t="shared" si="1649"/>
        <v>4.7296048571428558E-2</v>
      </c>
      <c r="P536" s="182" t="b">
        <f t="shared" ref="P536" si="1791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92">I536-R536</f>
        <v>97384.359999999986</v>
      </c>
      <c r="T536" s="173">
        <v>-32666</v>
      </c>
      <c r="U536" s="173">
        <f t="shared" ref="U536" si="1793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95"/>
        <v>0.16083314240177998</v>
      </c>
      <c r="Y536" s="807">
        <f t="shared" si="1196"/>
        <v>-0.1466463148874641</v>
      </c>
    </row>
    <row r="537" spans="1:25" ht="20.100000000000001" customHeight="1" x14ac:dyDescent="0.25">
      <c r="A537" s="163">
        <f t="shared" si="1576"/>
        <v>841</v>
      </c>
      <c r="B537" s="172">
        <v>43074</v>
      </c>
      <c r="C537" s="215">
        <v>2629.57</v>
      </c>
      <c r="D537" s="171">
        <f t="shared" ref="D537:D543" si="1794">(C537-C536)/C536</f>
        <v>-3.7394295759706191E-3</v>
      </c>
      <c r="E537" s="209">
        <f t="shared" ref="E537" si="1795">(C537-$C$2)/$C$2</f>
        <v>0.25072296950210238</v>
      </c>
      <c r="F537" s="219">
        <v>6762.21</v>
      </c>
      <c r="G537" s="171">
        <f t="shared" ref="G537:G543" si="1796">(F537-F536)/F536</f>
        <v>-1.9408562792234858E-3</v>
      </c>
      <c r="H537" s="203">
        <f t="shared" ref="H537:H542" si="1797">(F537-F$2)/F$2</f>
        <v>0.32808492252096555</v>
      </c>
      <c r="I537" s="221">
        <v>331089.06</v>
      </c>
      <c r="J537" s="173">
        <v>300000</v>
      </c>
      <c r="K537" s="173">
        <f t="shared" ref="K537:K542" si="1798">I537-I536-J537+J536</f>
        <v>-1542.2999999999884</v>
      </c>
      <c r="L537" s="171">
        <f t="shared" ref="L537:L542" si="1799">K537/I536</f>
        <v>-4.6366644443866884E-3</v>
      </c>
      <c r="M537" s="182">
        <f t="shared" ref="M537" si="1800">I537-J537</f>
        <v>31089.059999999998</v>
      </c>
      <c r="N537" s="184">
        <f t="shared" ref="N537" si="1801">M537/J537</f>
        <v>0.10363019999999999</v>
      </c>
      <c r="O537" s="183">
        <f t="shared" si="1649"/>
        <v>4.5007051783590962E-2</v>
      </c>
      <c r="P537" s="182" t="b">
        <f t="shared" ref="P537" si="1802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803">I537-R537</f>
        <v>97384.359999999986</v>
      </c>
      <c r="T537" s="173">
        <v>-33722</v>
      </c>
      <c r="U537" s="173">
        <f t="shared" ref="U537" si="1804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95"/>
        <v>0.15318166322183716</v>
      </c>
      <c r="Y537" s="807">
        <f t="shared" si="1196"/>
        <v>-0.14709276950210237</v>
      </c>
    </row>
    <row r="538" spans="1:25" ht="20.100000000000001" customHeight="1" x14ac:dyDescent="0.25">
      <c r="A538" s="163">
        <f t="shared" si="1576"/>
        <v>842</v>
      </c>
      <c r="B538" s="172">
        <v>43075</v>
      </c>
      <c r="C538" s="215">
        <v>2629.27</v>
      </c>
      <c r="D538" s="171">
        <f t="shared" si="1794"/>
        <v>-1.1408709408769566E-4</v>
      </c>
      <c r="E538" s="209">
        <f t="shared" ref="E538" si="1805">(C538-$C$2)/$C$2</f>
        <v>0.25058027815300316</v>
      </c>
      <c r="F538" s="219">
        <v>6776.37</v>
      </c>
      <c r="G538" s="171">
        <f t="shared" si="1796"/>
        <v>2.0939899825648499E-3</v>
      </c>
      <c r="H538" s="203">
        <f t="shared" si="1797"/>
        <v>0.33086591904471985</v>
      </c>
      <c r="I538" s="221">
        <v>327613.65999999997</v>
      </c>
      <c r="J538" s="173">
        <v>300000</v>
      </c>
      <c r="K538" s="173">
        <f t="shared" si="1798"/>
        <v>-3475.4000000000233</v>
      </c>
      <c r="L538" s="171">
        <f t="shared" si="1799"/>
        <v>-1.0496873560243952E-2</v>
      </c>
      <c r="M538" s="182">
        <f t="shared" ref="M538" si="1806">I538-J538</f>
        <v>27613.659999999974</v>
      </c>
      <c r="N538" s="184">
        <f t="shared" ref="N538" si="1807">M538/J538</f>
        <v>9.2045533333333249E-2</v>
      </c>
      <c r="O538" s="183">
        <f t="shared" si="1649"/>
        <v>3.9928302909738686E-2</v>
      </c>
      <c r="P538" s="182" t="b">
        <f t="shared" ref="P538" si="1808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9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95"/>
        <v>0.13597837509474753</v>
      </c>
      <c r="Y538" s="807">
        <f t="shared" si="1196"/>
        <v>-0.15853474481966989</v>
      </c>
    </row>
    <row r="539" spans="1:25" ht="20.100000000000001" customHeight="1" x14ac:dyDescent="0.25">
      <c r="A539" s="163">
        <f t="shared" si="1576"/>
        <v>843</v>
      </c>
      <c r="B539" s="172">
        <v>43076</v>
      </c>
      <c r="C539" s="215">
        <v>2636.98</v>
      </c>
      <c r="D539" s="171">
        <f t="shared" si="1794"/>
        <v>2.9323728639508444E-3</v>
      </c>
      <c r="E539" s="209">
        <f t="shared" ref="E539" si="1810">(C539-$C$2)/$C$2</f>
        <v>0.25424744582485109</v>
      </c>
      <c r="F539" s="219">
        <v>6812.84</v>
      </c>
      <c r="G539" s="171">
        <f t="shared" si="1796"/>
        <v>5.3819375270240935E-3</v>
      </c>
      <c r="H539" s="203">
        <f t="shared" si="1797"/>
        <v>0.33802855627786405</v>
      </c>
      <c r="I539" s="221">
        <v>319288.36</v>
      </c>
      <c r="J539" s="173">
        <v>290000</v>
      </c>
      <c r="K539" s="173">
        <f t="shared" si="1798"/>
        <v>1674.7000000000116</v>
      </c>
      <c r="L539" s="171">
        <f t="shared" si="1799"/>
        <v>5.111813713750555E-3</v>
      </c>
      <c r="M539" s="182">
        <f t="shared" ref="M539" si="1811">I539-J539</f>
        <v>29288.359999999986</v>
      </c>
      <c r="N539" s="184">
        <f t="shared" ref="N539" si="1812">M539/J539</f>
        <v>0.10099434482758615</v>
      </c>
      <c r="O539" s="183">
        <f t="shared" si="1649"/>
        <v>4.3758225917290443E-2</v>
      </c>
      <c r="P539" s="182" t="b">
        <f t="shared" ref="P539" si="1813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14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15">O539/W539</f>
        <v>0.14915193875389643</v>
      </c>
      <c r="Y539" s="807">
        <f t="shared" ref="Y539:Y583" si="1816">-(E539-N539)</f>
        <v>-0.15325310099726494</v>
      </c>
    </row>
    <row r="540" spans="1:25" ht="20.100000000000001" customHeight="1" x14ac:dyDescent="0.25">
      <c r="A540" s="163">
        <f t="shared" si="1576"/>
        <v>844</v>
      </c>
      <c r="B540" s="172">
        <v>43077</v>
      </c>
      <c r="C540" s="215">
        <v>2651.5</v>
      </c>
      <c r="D540" s="171">
        <f t="shared" si="1794"/>
        <v>5.5062988721947008E-3</v>
      </c>
      <c r="E540" s="209">
        <f t="shared" ref="E540" si="1817">(C540-$C$2)/$C$2</f>
        <v>0.26115370712124958</v>
      </c>
      <c r="F540" s="219">
        <v>6840.8</v>
      </c>
      <c r="G540" s="171">
        <f t="shared" si="1796"/>
        <v>4.1040153592334528E-3</v>
      </c>
      <c r="H540" s="203">
        <f t="shared" si="1797"/>
        <v>0.34351984602392138</v>
      </c>
      <c r="I540" s="221">
        <v>322861.36</v>
      </c>
      <c r="J540" s="173">
        <v>290000</v>
      </c>
      <c r="K540" s="173">
        <f t="shared" si="1798"/>
        <v>3573</v>
      </c>
      <c r="L540" s="171">
        <f t="shared" si="1799"/>
        <v>1.1190511298313537E-2</v>
      </c>
      <c r="M540" s="182">
        <f t="shared" ref="M540" si="1818">I540-J540</f>
        <v>32861.359999999986</v>
      </c>
      <c r="N540" s="184">
        <f t="shared" ref="N540" si="1819">M540/J540</f>
        <v>0.11331503448275858</v>
      </c>
      <c r="O540" s="183">
        <f t="shared" si="1649"/>
        <v>4.9038289508089535E-2</v>
      </c>
      <c r="P540" s="182" t="b">
        <f t="shared" ref="P540" si="1820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21">I540-R540</f>
        <v>87384.359999999986</v>
      </c>
      <c r="T540" s="173">
        <v>-32986</v>
      </c>
      <c r="U540" s="173">
        <f t="shared" si="1809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15"/>
        <v>0.16725300613281655</v>
      </c>
      <c r="Y540" s="807">
        <f t="shared" si="1816"/>
        <v>-0.14783867263849099</v>
      </c>
    </row>
    <row r="541" spans="1:25" ht="20.100000000000001" customHeight="1" x14ac:dyDescent="0.25">
      <c r="A541" s="163">
        <f t="shared" si="1576"/>
        <v>847</v>
      </c>
      <c r="B541" s="172">
        <v>43080</v>
      </c>
      <c r="C541" s="215">
        <v>2659.99</v>
      </c>
      <c r="D541" s="171">
        <f t="shared" si="1794"/>
        <v>3.2019611540636552E-3</v>
      </c>
      <c r="E541" s="209">
        <f t="shared" ref="E541" si="1822">(C541-$C$2)/$C$2</f>
        <v>0.26519187230075519</v>
      </c>
      <c r="F541" s="219">
        <v>6875.07</v>
      </c>
      <c r="G541" s="171">
        <f t="shared" si="1796"/>
        <v>5.0096479943865522E-3</v>
      </c>
      <c r="H541" s="203">
        <f t="shared" si="1797"/>
        <v>0.35025040752597364</v>
      </c>
      <c r="I541" s="221">
        <v>322942.15999999997</v>
      </c>
      <c r="J541" s="173">
        <v>290000</v>
      </c>
      <c r="K541" s="173">
        <f t="shared" si="1798"/>
        <v>80.799999999988358</v>
      </c>
      <c r="L541" s="171">
        <f t="shared" si="1799"/>
        <v>2.5026221781382683E-4</v>
      </c>
      <c r="M541" s="182">
        <f t="shared" ref="M541" si="1823">I541-J541</f>
        <v>32942.159999999974</v>
      </c>
      <c r="N541" s="184">
        <f t="shared" ref="N541" si="1824">M541/J541</f>
        <v>0.11359365517241371</v>
      </c>
      <c r="O541" s="183">
        <f t="shared" si="1649"/>
        <v>4.8984749175589266E-2</v>
      </c>
      <c r="P541" s="182" t="b">
        <f t="shared" ref="P541" si="1825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26">I541-R541</f>
        <v>87384.359999999986</v>
      </c>
      <c r="T541" s="173">
        <v>-32985</v>
      </c>
      <c r="U541" s="173">
        <f t="shared" ref="U541" si="1827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15"/>
        <v>0.16722585233838994</v>
      </c>
      <c r="Y541" s="807">
        <f t="shared" si="1816"/>
        <v>-0.15159821712834148</v>
      </c>
    </row>
    <row r="542" spans="1:25" ht="20.100000000000001" customHeight="1" x14ac:dyDescent="0.25">
      <c r="A542" s="163">
        <f t="shared" si="1576"/>
        <v>848</v>
      </c>
      <c r="B542" s="172">
        <v>43081</v>
      </c>
      <c r="C542" s="215">
        <v>2664.11</v>
      </c>
      <c r="D542" s="171">
        <f t="shared" si="1794"/>
        <v>1.5488780033008943E-3</v>
      </c>
      <c r="E542" s="209">
        <f t="shared" ref="E542" si="1828">(C542-$C$2)/$C$2</f>
        <v>0.2671515001617169</v>
      </c>
      <c r="F542" s="219">
        <v>6862.31</v>
      </c>
      <c r="G542" s="171">
        <f t="shared" si="1796"/>
        <v>-1.8559811027377626E-3</v>
      </c>
      <c r="H542" s="203">
        <f t="shared" si="1797"/>
        <v>0.34774436828564148</v>
      </c>
      <c r="I542" s="221">
        <v>323980.06</v>
      </c>
      <c r="J542" s="173">
        <v>290000</v>
      </c>
      <c r="K542" s="173">
        <f t="shared" si="1798"/>
        <v>1037.9000000000233</v>
      </c>
      <c r="L542" s="171">
        <f t="shared" si="1799"/>
        <v>3.2138882083405382E-3</v>
      </c>
      <c r="M542" s="182">
        <f t="shared" ref="M542" si="1829">I542-J542</f>
        <v>33980.06</v>
      </c>
      <c r="N542" s="184">
        <f t="shared" ref="N542" si="1830">M542/J542</f>
        <v>0.11717262068965516</v>
      </c>
      <c r="O542" s="183">
        <f t="shared" si="1649"/>
        <v>5.0468513805302533E-2</v>
      </c>
      <c r="P542" s="182" t="b">
        <f t="shared" ref="P542" si="1831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32">I542-R542</f>
        <v>87700.359999999986</v>
      </c>
      <c r="T542" s="173">
        <v>-33546</v>
      </c>
      <c r="U542" s="173">
        <f t="shared" ref="U542" si="1833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15"/>
        <v>0.17244781040233489</v>
      </c>
      <c r="Y542" s="807">
        <f t="shared" si="1816"/>
        <v>-0.14997887947206173</v>
      </c>
    </row>
    <row r="543" spans="1:25" ht="20.100000000000001" customHeight="1" x14ac:dyDescent="0.25">
      <c r="A543" s="163">
        <f t="shared" si="1576"/>
        <v>849</v>
      </c>
      <c r="B543" s="172">
        <v>43082</v>
      </c>
      <c r="C543" s="215">
        <v>2662.85</v>
      </c>
      <c r="D543" s="171">
        <f t="shared" si="1794"/>
        <v>-4.7295344411462672E-4</v>
      </c>
      <c r="E543" s="209">
        <f t="shared" ref="E543" si="1834">(C543-$C$2)/$C$2</f>
        <v>0.26655219649550038</v>
      </c>
      <c r="F543" s="219">
        <v>6875.79</v>
      </c>
      <c r="G543" s="171">
        <f t="shared" si="1796"/>
        <v>1.9643531114157714E-3</v>
      </c>
      <c r="H543" s="203">
        <f t="shared" ref="H543" si="1835">(F543-F$2)/F$2</f>
        <v>0.35039181412887643</v>
      </c>
      <c r="I543" s="221">
        <v>324790.59000000003</v>
      </c>
      <c r="J543" s="173">
        <v>290000</v>
      </c>
      <c r="K543" s="173">
        <f t="shared" ref="K543" si="1836">I543-I542-J543+J542</f>
        <v>810.53000000002794</v>
      </c>
      <c r="L543" s="171">
        <f t="shared" ref="L543" si="1837">K543/I542</f>
        <v>2.5017897706421438E-3</v>
      </c>
      <c r="M543" s="182">
        <f t="shared" ref="M543" si="1838">I543-J543</f>
        <v>34790.590000000026</v>
      </c>
      <c r="N543" s="184">
        <f t="shared" ref="N543" si="1839">M543/J543</f>
        <v>0.11996755172413802</v>
      </c>
      <c r="O543" s="183">
        <f t="shared" si="1649"/>
        <v>5.1611482057999307E-2</v>
      </c>
      <c r="P543" s="182" t="b">
        <f t="shared" ref="P543" si="1840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41">I543-R543</f>
        <v>87800.590000000026</v>
      </c>
      <c r="T543" s="173">
        <v>-32970</v>
      </c>
      <c r="U543" s="173">
        <f t="shared" ref="U543" si="1842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15"/>
        <v>0.17651489494258057</v>
      </c>
      <c r="Y543" s="807">
        <f t="shared" si="1816"/>
        <v>-0.14658464477136235</v>
      </c>
    </row>
    <row r="544" spans="1:25" ht="20.100000000000001" customHeight="1" x14ac:dyDescent="0.25">
      <c r="A544" s="163">
        <f t="shared" si="1576"/>
        <v>850</v>
      </c>
      <c r="B544" s="172">
        <v>43083</v>
      </c>
      <c r="C544" s="215">
        <v>2652.01</v>
      </c>
      <c r="D544" s="171">
        <f t="shared" ref="D544" si="1843">(C544-C543)/C543</f>
        <v>-4.070826370242293E-3</v>
      </c>
      <c r="E544" s="209">
        <f t="shared" ref="E544" si="1844">(C544-$C$2)/$C$2</f>
        <v>0.26139628241471818</v>
      </c>
      <c r="F544" s="219">
        <v>6856.52</v>
      </c>
      <c r="G544" s="171">
        <f t="shared" ref="G544" si="1845">(F544-F543)/F543</f>
        <v>-2.8025870481791222E-3</v>
      </c>
      <c r="H544" s="203">
        <f t="shared" ref="H544" si="1846">(F544-F$2)/F$2</f>
        <v>0.34660722352063172</v>
      </c>
      <c r="I544" s="221">
        <v>322223.39</v>
      </c>
      <c r="J544" s="173">
        <v>290000</v>
      </c>
      <c r="K544" s="173">
        <f t="shared" ref="K544" si="1847">I544-I543-J544+J543</f>
        <v>-2567.2000000000116</v>
      </c>
      <c r="L544" s="171">
        <f t="shared" ref="L544" si="1848">K544/I543</f>
        <v>-7.9041698837395858E-3</v>
      </c>
      <c r="M544" s="182">
        <f t="shared" ref="M544" si="1849">I544-J544</f>
        <v>32223.390000000014</v>
      </c>
      <c r="N544" s="184">
        <f t="shared" ref="N544" si="1850">M544/J544</f>
        <v>0.11111513793103453</v>
      </c>
      <c r="O544" s="183">
        <f t="shared" si="1649"/>
        <v>4.7746828387423952E-2</v>
      </c>
      <c r="P544" s="182" t="b">
        <f t="shared" ref="P544" si="1851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52">I544-R544</f>
        <v>87800.590000000026</v>
      </c>
      <c r="T544" s="173">
        <v>-34234</v>
      </c>
      <c r="U544" s="173">
        <f t="shared" ref="U544" si="1853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15"/>
        <v>0.163417007006146</v>
      </c>
      <c r="Y544" s="807">
        <f t="shared" si="1816"/>
        <v>-0.15028114448368365</v>
      </c>
    </row>
    <row r="545" spans="1:25" ht="20.100000000000001" customHeight="1" x14ac:dyDescent="0.25">
      <c r="A545" s="163">
        <f t="shared" si="1576"/>
        <v>851</v>
      </c>
      <c r="B545" s="172">
        <v>43084</v>
      </c>
      <c r="C545" s="215">
        <v>2675.81</v>
      </c>
      <c r="D545" s="171">
        <f t="shared" ref="D545" si="1854">(C545-C544)/C544</f>
        <v>8.9743251345205059E-3</v>
      </c>
      <c r="E545" s="209">
        <f t="shared" ref="E545" si="1855">(C545-$C$2)/$C$2</f>
        <v>0.27271646277658335</v>
      </c>
      <c r="F545" s="219">
        <v>6936.58</v>
      </c>
      <c r="G545" s="171">
        <f t="shared" ref="G545" si="1856">(F545-F544)/F544</f>
        <v>1.1676477280019526E-2</v>
      </c>
      <c r="H545" s="203">
        <f t="shared" ref="H545" si="1857">(F545-F$2)/F$2</f>
        <v>0.36233085217118061</v>
      </c>
      <c r="I545" s="221">
        <v>323833.19</v>
      </c>
      <c r="J545" s="173">
        <v>290000</v>
      </c>
      <c r="K545" s="173">
        <f t="shared" ref="K545" si="1858">I545-I544-J545+J544</f>
        <v>1609.7999999999884</v>
      </c>
      <c r="L545" s="171">
        <f t="shared" ref="L545" si="1859">K545/I544</f>
        <v>4.9959129286051779E-3</v>
      </c>
      <c r="M545" s="182">
        <f t="shared" ref="M545" si="1860">I545-J545</f>
        <v>33833.19</v>
      </c>
      <c r="N545" s="184">
        <f t="shared" ref="N545" si="1861">M545/J545</f>
        <v>0.11666617241379311</v>
      </c>
      <c r="O545" s="183">
        <f t="shared" si="1649"/>
        <v>5.0073230874427652E-2</v>
      </c>
      <c r="P545" s="182" t="b">
        <f t="shared" ref="P545" si="1862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63">I545-R545</f>
        <v>87800.59</v>
      </c>
      <c r="T545" s="173">
        <v>-33354</v>
      </c>
      <c r="U545" s="173">
        <f t="shared" ref="U545" si="1864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15"/>
        <v>0.17152820819249553</v>
      </c>
      <c r="Y545" s="807">
        <f t="shared" si="1816"/>
        <v>-0.15605029036279022</v>
      </c>
    </row>
    <row r="546" spans="1:25" ht="20.100000000000001" customHeight="1" x14ac:dyDescent="0.25">
      <c r="A546" s="163">
        <f t="shared" si="1576"/>
        <v>854</v>
      </c>
      <c r="B546" s="172">
        <v>43087</v>
      </c>
      <c r="C546" s="215">
        <v>2690.16</v>
      </c>
      <c r="D546" s="171">
        <f t="shared" ref="D546" si="1865">(C546-C545)/C545</f>
        <v>5.3628620866204664E-3</v>
      </c>
      <c r="E546" s="209">
        <f t="shared" ref="E546" si="1866">(C546-$C$2)/$C$2</f>
        <v>0.27954186564182559</v>
      </c>
      <c r="F546" s="219">
        <v>6994.75</v>
      </c>
      <c r="G546" s="171">
        <f t="shared" ref="G546" si="1867">(F546-F545)/F545</f>
        <v>8.3859769511776799E-3</v>
      </c>
      <c r="H546" s="203">
        <f t="shared" ref="H546" si="1868">(F546-F$2)/F$2</f>
        <v>0.37375532729736632</v>
      </c>
      <c r="I546" s="221">
        <v>328097.89</v>
      </c>
      <c r="J546" s="173">
        <v>290000</v>
      </c>
      <c r="K546" s="173">
        <f t="shared" ref="K546" si="1869">I546-I545-J546+J545</f>
        <v>4264.7000000000116</v>
      </c>
      <c r="L546" s="171">
        <f t="shared" ref="L546" si="1870">K546/I545</f>
        <v>1.3169434547459486E-2</v>
      </c>
      <c r="M546" s="182">
        <f t="shared" ref="M546" si="1871">I546-J546</f>
        <v>38097.890000000014</v>
      </c>
      <c r="N546" s="184">
        <f t="shared" ref="N546" si="1872">M546/J546</f>
        <v>0.13137203448275867</v>
      </c>
      <c r="O546" s="183">
        <f t="shared" si="1649"/>
        <v>5.6186926926027642E-2</v>
      </c>
      <c r="P546" s="182" t="b">
        <f t="shared" ref="P546" si="1873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74">I546-R546</f>
        <v>96680.390000000014</v>
      </c>
      <c r="T546" s="173">
        <v>-32394</v>
      </c>
      <c r="U546" s="173">
        <f t="shared" ref="U546" si="1875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15"/>
        <v>0.19256453401966658</v>
      </c>
      <c r="Y546" s="807">
        <f t="shared" si="1816"/>
        <v>-0.14816983115906693</v>
      </c>
    </row>
    <row r="547" spans="1:25" ht="20.100000000000001" customHeight="1" x14ac:dyDescent="0.25">
      <c r="A547" s="163">
        <f t="shared" ref="A547" si="1876">B547-$B$2</f>
        <v>855</v>
      </c>
      <c r="B547" s="172">
        <v>43088</v>
      </c>
      <c r="C547" s="215">
        <v>2681.47</v>
      </c>
      <c r="D547" s="171">
        <f t="shared" ref="D547" si="1877">(C547-C546)/C546</f>
        <v>-3.2302911350997913E-3</v>
      </c>
      <c r="E547" s="209">
        <f t="shared" ref="E547" si="1878">(C547-$C$2)/$C$2</f>
        <v>0.27540857289625376</v>
      </c>
      <c r="F547" s="219">
        <v>6963.85</v>
      </c>
      <c r="G547" s="171">
        <f t="shared" ref="G547" si="1879">(F547-F546)/F546</f>
        <v>-4.4175989134707652E-3</v>
      </c>
      <c r="H547" s="203">
        <f t="shared" ref="H547" si="1880">(F547-F$2)/F$2</f>
        <v>0.36768662725612283</v>
      </c>
      <c r="I547" s="221">
        <v>330798.90000000002</v>
      </c>
      <c r="J547" s="173">
        <v>290000</v>
      </c>
      <c r="K547" s="173">
        <f t="shared" ref="K547" si="1881">I547-I546-J547+J546</f>
        <v>2701.0100000000093</v>
      </c>
      <c r="L547" s="171">
        <f t="shared" ref="L547" si="1882">K547/I546</f>
        <v>8.2323296867285838E-3</v>
      </c>
      <c r="M547" s="182">
        <f t="shared" ref="M547" si="1883">I547-J547</f>
        <v>40798.900000000023</v>
      </c>
      <c r="N547" s="184">
        <f t="shared" ref="N547" si="1884">M547/J547</f>
        <v>0.14068586206896561</v>
      </c>
      <c r="O547" s="183">
        <f t="shared" ref="O547" si="1885">N547/(A547/365.25)</f>
        <v>6.0100013006654608E-2</v>
      </c>
      <c r="P547" s="182" t="b">
        <f t="shared" ref="P547" si="1886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87">I547-R547</f>
        <v>98278.350000000035</v>
      </c>
      <c r="T547" s="173">
        <v>-32544</v>
      </c>
      <c r="U547" s="173">
        <f t="shared" ref="U547" si="1888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15"/>
        <v>0.2061319214505424</v>
      </c>
      <c r="Y547" s="807">
        <f t="shared" si="1816"/>
        <v>-0.13472271082728815</v>
      </c>
    </row>
    <row r="548" spans="1:25" ht="20.100000000000001" customHeight="1" x14ac:dyDescent="0.25">
      <c r="A548" s="163">
        <f t="shared" ref="A548" si="1889">B548-$B$2</f>
        <v>856</v>
      </c>
      <c r="B548" s="172">
        <v>43089</v>
      </c>
      <c r="C548" s="215">
        <v>2679.25</v>
      </c>
      <c r="D548" s="171">
        <f t="shared" ref="D548" si="1890">(C548-C547)/C547</f>
        <v>-8.2790409737934793E-4</v>
      </c>
      <c r="E548" s="209">
        <f t="shared" ref="E548" si="1891">(C548-$C$2)/$C$2</f>
        <v>0.27435265691292021</v>
      </c>
      <c r="F548" s="219">
        <v>6960.95</v>
      </c>
      <c r="G548" s="171">
        <f t="shared" ref="G548" si="1892">(F548-F547)/F547</f>
        <v>-4.1643631037436841E-4</v>
      </c>
      <c r="H548" s="203">
        <f t="shared" ref="H548" si="1893">(F548-F$2)/F$2</f>
        <v>0.36711707288331991</v>
      </c>
      <c r="I548" s="221">
        <v>332590.03999999998</v>
      </c>
      <c r="J548" s="173">
        <v>290000</v>
      </c>
      <c r="K548" s="173">
        <f t="shared" ref="K548" si="1894">I548-I547-J548+J547</f>
        <v>1791.1399999999558</v>
      </c>
      <c r="L548" s="171">
        <f t="shared" ref="L548" si="1895">K548/I547</f>
        <v>5.414588742586374E-3</v>
      </c>
      <c r="M548" s="182">
        <f t="shared" ref="M548" si="1896">I548-J548</f>
        <v>42590.039999999979</v>
      </c>
      <c r="N548" s="184">
        <f t="shared" ref="N548" si="1897">M548/J548</f>
        <v>0.14686220689655166</v>
      </c>
      <c r="O548" s="183">
        <f t="shared" ref="O548" si="1898">N548/(A548/365.25)</f>
        <v>6.2665211529165307E-2</v>
      </c>
      <c r="P548" s="182" t="b">
        <f t="shared" ref="P548" si="1899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900">I548-R548</f>
        <v>98747.039999999979</v>
      </c>
      <c r="T548" s="173">
        <v>-31989</v>
      </c>
      <c r="U548" s="173">
        <f t="shared" ref="U548" si="1901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15"/>
        <v>0.21511372114444255</v>
      </c>
      <c r="Y548" s="807">
        <f t="shared" si="1816"/>
        <v>-0.12749045001636855</v>
      </c>
    </row>
    <row r="549" spans="1:25" ht="20.100000000000001" customHeight="1" x14ac:dyDescent="0.25">
      <c r="A549" s="163">
        <f t="shared" ref="A549" si="1902">B549-$B$2</f>
        <v>857</v>
      </c>
      <c r="B549" s="172">
        <v>43090</v>
      </c>
      <c r="C549" s="215">
        <v>2684.59</v>
      </c>
      <c r="D549" s="171">
        <f t="shared" ref="D549" si="1903">(C549-C548)/C548</f>
        <v>1.9930950825791344E-3</v>
      </c>
      <c r="E549" s="209">
        <f t="shared" ref="E549" si="1904">(C549-$C$2)/$C$2</f>
        <v>0.27689256292688497</v>
      </c>
      <c r="F549" s="219">
        <v>6965.36</v>
      </c>
      <c r="G549" s="171">
        <f t="shared" ref="G549" si="1905">(F549-F548)/F548</f>
        <v>6.3353421587568576E-4</v>
      </c>
      <c r="H549" s="203">
        <f t="shared" ref="H549" si="1906">(F549-F$2)/F$2</f>
        <v>0.36798318832609933</v>
      </c>
      <c r="I549" s="221">
        <v>338086.81</v>
      </c>
      <c r="J549" s="173">
        <v>290000</v>
      </c>
      <c r="K549" s="173">
        <f t="shared" ref="K549" si="1907">I549-I548-J549+J548</f>
        <v>5496.7700000000186</v>
      </c>
      <c r="L549" s="171">
        <f t="shared" ref="L549" si="1908">K549/I548</f>
        <v>1.6527163591549581E-2</v>
      </c>
      <c r="M549" s="182">
        <f t="shared" ref="M549" si="1909">I549-J549</f>
        <v>48086.81</v>
      </c>
      <c r="N549" s="184">
        <f t="shared" ref="N549" si="1910">M549/J549</f>
        <v>0.16581658620689654</v>
      </c>
      <c r="O549" s="183">
        <f t="shared" ref="O549" si="1911">N549/(A549/365.25)</f>
        <v>7.0670371192612547E-2</v>
      </c>
      <c r="P549" s="182" t="b">
        <f t="shared" ref="P549" si="1912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13">I549-R549</f>
        <v>119787.66</v>
      </c>
      <c r="T549" s="173">
        <v>-31667</v>
      </c>
      <c r="U549" s="173">
        <f t="shared" ref="U549" si="1914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15"/>
        <v>0.24264778543087354</v>
      </c>
      <c r="Y549" s="807">
        <f t="shared" si="1816"/>
        <v>-0.11107597671998842</v>
      </c>
    </row>
    <row r="550" spans="1:25" ht="20.100000000000001" customHeight="1" x14ac:dyDescent="0.25">
      <c r="A550" s="163">
        <f t="shared" ref="A550" si="1915">B550-$B$2</f>
        <v>858</v>
      </c>
      <c r="B550" s="172">
        <v>43091</v>
      </c>
      <c r="C550" s="215">
        <f>C551+0.84</f>
        <v>2681.34</v>
      </c>
      <c r="D550" s="171">
        <f t="shared" ref="D550" si="1916">(C550-C549)/C549</f>
        <v>-1.2106131662562999E-3</v>
      </c>
      <c r="E550" s="209">
        <f t="shared" ref="E550" si="1917">(C550-$C$2)/$C$2</f>
        <v>0.27534673997831094</v>
      </c>
      <c r="F550" s="219">
        <f>F551+23.71</f>
        <v>6960.95</v>
      </c>
      <c r="G550" s="171">
        <f t="shared" ref="G550" si="1918">(F550-F549)/F549</f>
        <v>-6.3313310439085059E-4</v>
      </c>
      <c r="H550" s="203">
        <f t="shared" ref="H550" si="1919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20">I550-I549-J550+J549</f>
        <v>540.32000000000698</v>
      </c>
      <c r="L550" s="171">
        <f t="shared" ref="L550" si="1921">K550/I549</f>
        <v>1.5981694169021471E-3</v>
      </c>
      <c r="M550" s="182">
        <f t="shared" ref="M550" si="1922">I550-J550</f>
        <v>48627.130000000005</v>
      </c>
      <c r="N550" s="184">
        <f t="shared" ref="N550" si="1923">M550/J550</f>
        <v>0.16767975862068968</v>
      </c>
      <c r="O550" s="183">
        <f t="shared" ref="O550" si="1924">N550/(A550/365.25)</f>
        <v>7.1381155986255135E-2</v>
      </c>
      <c r="P550" s="182" t="b">
        <f t="shared" ref="P550" si="1925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15"/>
        <v>0.24531194081878024</v>
      </c>
      <c r="Y550" s="807">
        <f t="shared" si="1816"/>
        <v>-0.10766698135762126</v>
      </c>
    </row>
    <row r="551" spans="1:25" ht="20.100000000000001" customHeight="1" x14ac:dyDescent="0.25">
      <c r="A551" s="163">
        <f t="shared" ref="A551" si="1926">B551-$B$2</f>
        <v>862</v>
      </c>
      <c r="B551" s="172">
        <v>43095</v>
      </c>
      <c r="C551" s="215">
        <v>2680.5</v>
      </c>
      <c r="D551" s="171">
        <f t="shared" ref="D551" si="1927">(C551-C550)/C550</f>
        <v>-3.1327619772208878E-4</v>
      </c>
      <c r="E551" s="209">
        <f t="shared" ref="E551" si="1928">(C551-$C$2)/$C$2</f>
        <v>0.2749472042008333</v>
      </c>
      <c r="F551" s="219">
        <v>6937.24</v>
      </c>
      <c r="G551" s="171">
        <f t="shared" ref="G551" si="1929">(F551-F550)/F550</f>
        <v>-3.406144276284133E-3</v>
      </c>
      <c r="H551" s="203">
        <f t="shared" ref="H551" si="1930">(F551-F$2)/F$2</f>
        <v>0.36246047489050809</v>
      </c>
      <c r="I551" s="221">
        <v>340189.13</v>
      </c>
      <c r="J551" s="173">
        <v>290000</v>
      </c>
      <c r="K551" s="173">
        <f t="shared" ref="K551" si="1931">I551-I550-J551+J550</f>
        <v>1562</v>
      </c>
      <c r="L551" s="171">
        <f t="shared" ref="L551" si="1932">K551/I550</f>
        <v>4.6127432258602549E-3</v>
      </c>
      <c r="M551" s="182">
        <f t="shared" ref="M551" si="1933">I551-J551</f>
        <v>50189.130000000005</v>
      </c>
      <c r="N551" s="184">
        <f t="shared" ref="N551" si="1934">M551/J551</f>
        <v>0.1730659655172414</v>
      </c>
      <c r="O551" s="183">
        <f t="shared" ref="O551" si="1935">N551/(A551/365.25)</f>
        <v>7.33321855048404E-2</v>
      </c>
      <c r="P551" s="182" t="b">
        <f t="shared" ref="P551" si="1936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37">I551-R551</f>
        <v>117391.53</v>
      </c>
      <c r="T551" s="173">
        <v>-31257</v>
      </c>
      <c r="U551" s="173">
        <f t="shared" ref="U551" si="1938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15"/>
        <v>0.25223614764049507</v>
      </c>
      <c r="Y551" s="807">
        <f t="shared" si="1816"/>
        <v>-0.10188123868359189</v>
      </c>
    </row>
    <row r="552" spans="1:25" ht="20.100000000000001" customHeight="1" x14ac:dyDescent="0.25">
      <c r="A552" s="163">
        <f t="shared" ref="A552" si="1939">B552-$B$2</f>
        <v>863</v>
      </c>
      <c r="B552" s="172">
        <v>43096</v>
      </c>
      <c r="C552" s="215">
        <v>2682.62</v>
      </c>
      <c r="D552" s="171">
        <f t="shared" ref="D552" si="1940">(C552-C551)/C551</f>
        <v>7.9089722066774519E-4</v>
      </c>
      <c r="E552" s="209">
        <f t="shared" ref="E552" si="1941">(C552-$C$2)/$C$2</f>
        <v>0.27595555640113384</v>
      </c>
      <c r="F552" s="219">
        <v>6939.33</v>
      </c>
      <c r="G552" s="171">
        <f t="shared" ref="G552" si="1942">(F552-F551)/F551</f>
        <v>3.0127255219657178E-4</v>
      </c>
      <c r="H552" s="203">
        <f t="shared" ref="H552" si="1943">(F552-F$2)/F$2</f>
        <v>0.36287094683504528</v>
      </c>
      <c r="I552" s="221">
        <v>338273.53</v>
      </c>
      <c r="J552" s="173">
        <v>290000</v>
      </c>
      <c r="K552" s="173">
        <f t="shared" ref="K552" si="1944">I552-I551-J552+J551</f>
        <v>-1915.5999999999767</v>
      </c>
      <c r="L552" s="171">
        <f t="shared" ref="L552:L557" si="1945">K552/I551</f>
        <v>-5.6309853286610791E-3</v>
      </c>
      <c r="M552" s="182">
        <f t="shared" ref="M552" si="1946">I552-J552</f>
        <v>48273.530000000028</v>
      </c>
      <c r="N552" s="184">
        <f t="shared" ref="N552" si="1947">M552/J552</f>
        <v>0.16646044827586218</v>
      </c>
      <c r="O552" s="183">
        <f t="shared" ref="O552" si="1948">N552/(A552/365.25)</f>
        <v>7.0451539667159516E-2</v>
      </c>
      <c r="P552" s="182" t="b">
        <f t="shared" ref="P552" si="1949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50">I552-R552</f>
        <v>117391.53000000003</v>
      </c>
      <c r="T552" s="173">
        <v>-31384</v>
      </c>
      <c r="U552" s="173">
        <f t="shared" ref="U552" si="1951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15"/>
        <v>0.24252318074287207</v>
      </c>
      <c r="Y552" s="807">
        <f t="shared" si="1816"/>
        <v>-0.10949510812527166</v>
      </c>
    </row>
    <row r="553" spans="1:25" ht="20.100000000000001" customHeight="1" x14ac:dyDescent="0.25">
      <c r="A553" s="163">
        <f t="shared" ref="A553" si="1952">B553-$B$2</f>
        <v>864</v>
      </c>
      <c r="B553" s="172">
        <v>43097</v>
      </c>
      <c r="C553" s="215">
        <v>2687.54</v>
      </c>
      <c r="D553" s="171">
        <f t="shared" ref="D553" si="1953">(C553-C552)/C552</f>
        <v>1.8340279279212386E-3</v>
      </c>
      <c r="E553" s="209">
        <f t="shared" ref="E553" si="1954">(C553-$C$2)/$C$2</f>
        <v>0.27829569452635977</v>
      </c>
      <c r="F553" s="219">
        <v>6950.16</v>
      </c>
      <c r="G553" s="171">
        <f t="shared" ref="G553" si="1955">(F553-F552)/F552</f>
        <v>1.560669401801028E-3</v>
      </c>
      <c r="H553" s="203">
        <f t="shared" ref="H553" si="1956">(F553-F$2)/F$2</f>
        <v>0.36499793782037437</v>
      </c>
      <c r="I553" s="221">
        <v>338405.59</v>
      </c>
      <c r="J553" s="173">
        <v>290000</v>
      </c>
      <c r="K553" s="173">
        <f t="shared" ref="K553" si="1957">I553-I552-J553+J552</f>
        <v>132.05999999999767</v>
      </c>
      <c r="L553" s="171">
        <f t="shared" si="1945"/>
        <v>3.9039412868041335E-4</v>
      </c>
      <c r="M553" s="182">
        <f t="shared" ref="M553" si="1958">I553-J553</f>
        <v>48405.590000000026</v>
      </c>
      <c r="N553" s="184">
        <f t="shared" ref="N553" si="1959">M553/J553</f>
        <v>0.16691582758620699</v>
      </c>
      <c r="O553" s="183">
        <f t="shared" ref="O553" si="1960">N553/(A553/365.25)</f>
        <v>7.0562506974377437E-2</v>
      </c>
      <c r="P553" s="182" t="b">
        <f t="shared" ref="P553" si="1961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62">I553-R553</f>
        <v>119245.49000000002</v>
      </c>
      <c r="T553" s="173">
        <v>-31468</v>
      </c>
      <c r="U553" s="173">
        <f t="shared" ref="U553" si="1963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15"/>
        <v>0.24312627361668496</v>
      </c>
      <c r="Y553" s="807">
        <f t="shared" si="1816"/>
        <v>-0.11137986694015278</v>
      </c>
    </row>
    <row r="554" spans="1:25" ht="20.100000000000001" customHeight="1" x14ac:dyDescent="0.25">
      <c r="A554" s="163">
        <f t="shared" ref="A554" si="1964">B554-$B$2</f>
        <v>865</v>
      </c>
      <c r="B554" s="172">
        <v>43098</v>
      </c>
      <c r="C554" s="215">
        <v>2673.61</v>
      </c>
      <c r="D554" s="171">
        <f t="shared" ref="D554" si="1965">(C554-C553)/C553</f>
        <v>-5.1831786689685872E-3</v>
      </c>
      <c r="E554" s="209">
        <f t="shared" ref="E554" si="1966">(C554-$C$2)/$C$2</f>
        <v>0.2716700595498564</v>
      </c>
      <c r="F554" s="219">
        <v>6903.38</v>
      </c>
      <c r="G554" s="171">
        <f t="shared" ref="G554" si="1967">(F554-F553)/F553</f>
        <v>-6.7307802985830181E-3</v>
      </c>
      <c r="H554" s="203">
        <f t="shared" ref="H554" si="1968">(F554-F$2)/F$2</f>
        <v>0.35581043659288653</v>
      </c>
      <c r="I554" s="472">
        <v>337203.38</v>
      </c>
      <c r="J554" s="173">
        <v>290000</v>
      </c>
      <c r="K554" s="173">
        <f t="shared" ref="K554" si="1969">I554-I553-J554+J553</f>
        <v>-1202.210000000021</v>
      </c>
      <c r="L554" s="171">
        <f t="shared" si="1945"/>
        <v>-3.5525713390255191E-3</v>
      </c>
      <c r="M554" s="472">
        <f t="shared" ref="M554" si="1970">I554-J554</f>
        <v>47203.380000000005</v>
      </c>
      <c r="N554" s="184">
        <f t="shared" ref="N554" si="1971">M554/J554</f>
        <v>0.16277027586206899</v>
      </c>
      <c r="O554" s="183">
        <f t="shared" ref="O554" si="1972">N554/(A554/365.25)</f>
        <v>6.8730454634243585E-2</v>
      </c>
      <c r="P554" s="182" t="b">
        <f t="shared" ref="P554" si="1973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74">I554-R554</f>
        <v>109209.98000000001</v>
      </c>
      <c r="T554" s="173">
        <v>-31748</v>
      </c>
      <c r="U554" s="173">
        <f t="shared" ref="U554" si="1975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15"/>
        <v>0.237017994501803</v>
      </c>
      <c r="Y554" s="807">
        <f t="shared" si="1816"/>
        <v>-0.10889978368778741</v>
      </c>
    </row>
    <row r="555" spans="1:25" ht="20.100000000000001" customHeight="1" x14ac:dyDescent="0.25">
      <c r="A555" s="163">
        <f t="shared" ref="A555" si="1976">B555-$B$2</f>
        <v>869</v>
      </c>
      <c r="B555" s="172">
        <v>43102</v>
      </c>
      <c r="C555" s="215">
        <v>2695.81</v>
      </c>
      <c r="D555" s="171">
        <f t="shared" ref="D555" si="1977">(C555-C554)/C554</f>
        <v>8.3033800741319098E-3</v>
      </c>
      <c r="E555" s="209">
        <f t="shared" ref="E555" si="1978">(C555-$C$2)/$C$2</f>
        <v>0.28222921938319279</v>
      </c>
      <c r="F555" s="219">
        <v>7006.89</v>
      </c>
      <c r="G555" s="171">
        <f t="shared" ref="G555" si="1979">(F555-F554)/F554</f>
        <v>1.4994104337295675E-2</v>
      </c>
      <c r="H555" s="203">
        <f t="shared" ref="H555" si="1980">(F555-F$2)/F$2</f>
        <v>0.37613959974075467</v>
      </c>
      <c r="I555" s="221">
        <v>343412.47999999998</v>
      </c>
      <c r="J555" s="173">
        <v>290000</v>
      </c>
      <c r="K555" s="173">
        <f t="shared" ref="K555" si="1981">I555-I554-J555+J554</f>
        <v>6209.0999999999767</v>
      </c>
      <c r="L555" s="171">
        <f t="shared" si="1945"/>
        <v>1.8413516495593776E-2</v>
      </c>
      <c r="M555" s="182">
        <f t="shared" ref="M555" si="1982">I555-J555</f>
        <v>53412.479999999981</v>
      </c>
      <c r="N555" s="184">
        <f t="shared" ref="N555" si="1983">M555/J555</f>
        <v>0.18418096551724131</v>
      </c>
      <c r="O555" s="183">
        <f t="shared" ref="O555" si="1984">N555/(A555/365.25)</f>
        <v>7.7413230903535551E-2</v>
      </c>
      <c r="P555" s="182" t="b">
        <f t="shared" ref="P555" si="1985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86">I555-R555</f>
        <v>116207.37999999998</v>
      </c>
      <c r="T555" s="173">
        <v>-30580</v>
      </c>
      <c r="U555" s="173">
        <f t="shared" ref="U555" si="1987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15"/>
        <v>0.26697253126120757</v>
      </c>
      <c r="Y555" s="807">
        <f t="shared" si="1816"/>
        <v>-9.8048253865951479E-2</v>
      </c>
    </row>
    <row r="556" spans="1:25" ht="20.100000000000001" customHeight="1" x14ac:dyDescent="0.25">
      <c r="A556" s="163">
        <f t="shared" ref="A556" si="1988">B556-$B$2</f>
        <v>870</v>
      </c>
      <c r="B556" s="172">
        <v>43103</v>
      </c>
      <c r="C556" s="215">
        <v>2713.06</v>
      </c>
      <c r="D556" s="171">
        <f t="shared" ref="D556" si="1989">(C556-C555)/C555</f>
        <v>6.3988189078607177E-3</v>
      </c>
      <c r="E556" s="209">
        <f t="shared" ref="E556" si="1990">(C556-$C$2)/$C$2</f>
        <v>0.29043397195639348</v>
      </c>
      <c r="F556" s="219">
        <v>7065.53</v>
      </c>
      <c r="G556" s="171">
        <f t="shared" ref="G556" si="1991">(F556-F555)/F555</f>
        <v>8.3689054630512842E-3</v>
      </c>
      <c r="H556" s="203">
        <f t="shared" ref="H556" si="1992">(F556-F$2)/F$2</f>
        <v>0.38765638195494628</v>
      </c>
      <c r="I556" s="221">
        <v>344644.23</v>
      </c>
      <c r="J556" s="173">
        <v>290000</v>
      </c>
      <c r="K556" s="173">
        <f t="shared" ref="K556" si="1993">I556-I555-J556+J555</f>
        <v>1231.75</v>
      </c>
      <c r="L556" s="171">
        <f t="shared" si="1945"/>
        <v>3.5867945160292371E-3</v>
      </c>
      <c r="M556" s="182">
        <f t="shared" ref="M556" si="1994">I556-J556</f>
        <v>54644.229999999981</v>
      </c>
      <c r="N556" s="184">
        <f t="shared" ref="N556" si="1995">M556/J556</f>
        <v>0.18842837931034476</v>
      </c>
      <c r="O556" s="183">
        <f t="shared" ref="O556" si="1996">N556/(A556/365.25)</f>
        <v>7.9107431658739555E-2</v>
      </c>
      <c r="P556" s="182" t="b">
        <f t="shared" ref="P556" si="1997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98">I556-R556</f>
        <v>114939.32999999999</v>
      </c>
      <c r="T556" s="173">
        <v>-31165</v>
      </c>
      <c r="U556" s="173">
        <f t="shared" ref="U556" si="1999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15"/>
        <v>0.27305573993544613</v>
      </c>
      <c r="Y556" s="807">
        <f t="shared" si="1816"/>
        <v>-0.10200559264604872</v>
      </c>
    </row>
    <row r="557" spans="1:25" ht="20.100000000000001" customHeight="1" x14ac:dyDescent="0.25">
      <c r="A557" s="163">
        <f t="shared" ref="A557" si="2000">B557-$B$2</f>
        <v>871</v>
      </c>
      <c r="B557" s="172">
        <v>43104</v>
      </c>
      <c r="C557" s="215">
        <v>2723.99</v>
      </c>
      <c r="D557" s="171">
        <f t="shared" ref="D557" si="2001">(C557-C556)/C556</f>
        <v>4.0286613639211209E-3</v>
      </c>
      <c r="E557" s="209">
        <f t="shared" ref="E557" si="2002">(C557-$C$2)/$C$2</f>
        <v>0.29563269344190546</v>
      </c>
      <c r="F557" s="219">
        <v>7077.91</v>
      </c>
      <c r="G557" s="171">
        <f t="shared" ref="G557" si="2003">(F557-F556)/F556</f>
        <v>1.7521686271235292E-3</v>
      </c>
      <c r="H557" s="203">
        <f t="shared" ref="H557" si="2004">(F557-F$2)/F$2</f>
        <v>0.39008778993263549</v>
      </c>
      <c r="I557" s="221">
        <v>346398.26</v>
      </c>
      <c r="J557" s="173">
        <v>290000</v>
      </c>
      <c r="K557" s="173">
        <f t="shared" ref="K557" si="2005">I557-I556-J557+J556</f>
        <v>1754.0300000000279</v>
      </c>
      <c r="L557" s="171">
        <f t="shared" si="1945"/>
        <v>5.0893931983136001E-3</v>
      </c>
      <c r="M557" s="182">
        <f t="shared" ref="M557" si="2006">I557-J557</f>
        <v>56398.260000000009</v>
      </c>
      <c r="N557" s="184">
        <f t="shared" ref="N557" si="2007">M557/J557</f>
        <v>0.19447675862068969</v>
      </c>
      <c r="O557" s="183">
        <f t="shared" ref="O557" si="2008">N557/(A557/365.25)</f>
        <v>8.1552969100122732E-2</v>
      </c>
      <c r="P557" s="182" t="b">
        <f t="shared" ref="P557" si="2009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10">I557-R557</f>
        <v>103512.56</v>
      </c>
      <c r="T557" s="173">
        <v>-32271</v>
      </c>
      <c r="U557" s="173">
        <f t="shared" ref="U557" si="2011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15"/>
        <v>0.28173618304296705</v>
      </c>
      <c r="Y557" s="807">
        <f t="shared" si="1816"/>
        <v>-0.10115593482121576</v>
      </c>
    </row>
    <row r="558" spans="1:25" ht="20.100000000000001" customHeight="1" x14ac:dyDescent="0.25">
      <c r="A558" s="163">
        <f t="shared" ref="A558" si="2012">B558-$B$2</f>
        <v>872</v>
      </c>
      <c r="B558" s="172">
        <v>43105</v>
      </c>
      <c r="C558" s="215">
        <v>2743.15</v>
      </c>
      <c r="D558" s="171">
        <f t="shared" ref="D558" si="2013">(C558-C557)/C557</f>
        <v>7.0337996835525499E-3</v>
      </c>
      <c r="E558" s="209">
        <f t="shared" ref="E558" si="2014">(C558-$C$2)/$C$2</f>
        <v>0.30474591427103748</v>
      </c>
      <c r="F558" s="219">
        <v>7136.55</v>
      </c>
      <c r="G558" s="171">
        <f t="shared" ref="G558" si="2015">(F558-F557)/F557</f>
        <v>8.2849315687823569E-3</v>
      </c>
      <c r="H558" s="203">
        <f t="shared" ref="H558" si="2016">(F558-F$2)/F$2</f>
        <v>0.40160457214682727</v>
      </c>
      <c r="I558" s="221">
        <v>346659.69</v>
      </c>
      <c r="J558" s="173">
        <v>290000</v>
      </c>
      <c r="K558" s="173">
        <f t="shared" ref="K558" si="2017">I558-I557-J558+J557</f>
        <v>261.42999999999302</v>
      </c>
      <c r="L558" s="171">
        <f t="shared" ref="L558" si="2018">K558/I557</f>
        <v>7.5470933370159826E-4</v>
      </c>
      <c r="M558" s="182">
        <f t="shared" ref="M558" si="2019">I558-J558</f>
        <v>56659.69</v>
      </c>
      <c r="N558" s="184">
        <f t="shared" ref="N558" si="2020">M558/J558</f>
        <v>0.19537824137931034</v>
      </c>
      <c r="O558" s="183">
        <f t="shared" ref="O558" si="2021">N558/(A558/365.25)</f>
        <v>8.1837044339212267E-2</v>
      </c>
      <c r="P558" s="182" t="b">
        <f t="shared" ref="P558" si="2022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23">I558-R558</f>
        <v>124974.48999999999</v>
      </c>
      <c r="T558" s="173">
        <v>-31364</v>
      </c>
      <c r="U558" s="173">
        <f t="shared" ref="U558" si="2024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15"/>
        <v>0.28297259400884972</v>
      </c>
      <c r="Y558" s="807">
        <f t="shared" si="1816"/>
        <v>-0.10936767289172714</v>
      </c>
    </row>
    <row r="559" spans="1:25" ht="20.100000000000001" customHeight="1" x14ac:dyDescent="0.25">
      <c r="A559" s="163">
        <f t="shared" ref="A559" si="2025">B559-$B$2</f>
        <v>875</v>
      </c>
      <c r="B559" s="172">
        <v>43108</v>
      </c>
      <c r="C559" s="215">
        <v>2747.71</v>
      </c>
      <c r="D559" s="171">
        <f t="shared" ref="D559" si="2026">(C559-C558)/C558</f>
        <v>1.662322512440058E-3</v>
      </c>
      <c r="E559" s="209">
        <f t="shared" ref="E559" si="2027">(C559-$C$2)/$C$2</f>
        <v>0.30691482277734439</v>
      </c>
      <c r="F559" s="219">
        <v>7157.38</v>
      </c>
      <c r="G559" s="171">
        <f t="shared" ref="G559" si="2028">(F559-F558)/F558</f>
        <v>2.9187772803385289E-3</v>
      </c>
      <c r="H559" s="203">
        <f t="shared" ref="H559" si="2029">(F559-F$2)/F$2</f>
        <v>0.40569554372802802</v>
      </c>
      <c r="I559" s="221">
        <v>347500.29</v>
      </c>
      <c r="J559" s="173">
        <v>290000</v>
      </c>
      <c r="K559" s="173">
        <f t="shared" ref="K559" si="2030">I559-I558-J559+J558</f>
        <v>840.59999999997672</v>
      </c>
      <c r="L559" s="171">
        <f t="shared" ref="L559" si="2031">K559/I558</f>
        <v>2.4248564925445377E-3</v>
      </c>
      <c r="M559" s="182">
        <f t="shared" ref="M559" si="2032">I559-J559</f>
        <v>57500.289999999979</v>
      </c>
      <c r="N559" s="184">
        <f t="shared" ref="N559" si="2033">M559/J559</f>
        <v>0.19827686206896544</v>
      </c>
      <c r="O559" s="183">
        <f t="shared" ref="O559" si="2034">N559/(A559/365.25)</f>
        <v>8.2766427280788146E-2</v>
      </c>
      <c r="P559" s="182" t="b">
        <f t="shared" ref="P559" si="2035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36">I559-R559</f>
        <v>121497.78999999998</v>
      </c>
      <c r="T559" s="173">
        <v>-30809</v>
      </c>
      <c r="U559" s="173">
        <f t="shared" ref="U559" si="2037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15"/>
        <v>0.28644138210468678</v>
      </c>
      <c r="Y559" s="807">
        <f t="shared" si="1816"/>
        <v>-0.10863796070837894</v>
      </c>
    </row>
    <row r="560" spans="1:25" ht="20.100000000000001" customHeight="1" x14ac:dyDescent="0.25">
      <c r="A560" s="163">
        <f t="shared" ref="A560" si="2038">B560-$B$2</f>
        <v>876</v>
      </c>
      <c r="B560" s="172">
        <v>43109</v>
      </c>
      <c r="C560" s="215">
        <v>2751.29</v>
      </c>
      <c r="D560" s="171">
        <f t="shared" ref="D560" si="2039">(C560-C559)/C559</f>
        <v>1.3029031448005528E-3</v>
      </c>
      <c r="E560" s="209">
        <f t="shared" ref="E560" si="2040">(C560-$C$2)/$C$2</f>
        <v>0.30861760620992745</v>
      </c>
      <c r="F560" s="219">
        <v>7163.57</v>
      </c>
      <c r="G560" s="171">
        <f t="shared" ref="G560" si="2041">(F560-F559)/F559</f>
        <v>8.6484160405058829E-4</v>
      </c>
      <c r="H560" s="203">
        <f t="shared" ref="H560" si="2042">(F560-F$2)/F$2</f>
        <v>0.40691124771687254</v>
      </c>
      <c r="I560" s="221">
        <v>347598.39</v>
      </c>
      <c r="J560" s="173">
        <v>290000</v>
      </c>
      <c r="K560" s="173">
        <f t="shared" ref="K560" si="2043">I560-I559-J560+J559</f>
        <v>98.100000000034925</v>
      </c>
      <c r="L560" s="171">
        <f t="shared" ref="L560" si="2044">K560/I559</f>
        <v>2.8230192268338807E-4</v>
      </c>
      <c r="M560" s="182">
        <f t="shared" ref="M560" si="2045">I560-J560</f>
        <v>57598.390000000014</v>
      </c>
      <c r="N560" s="184">
        <f t="shared" ref="N560" si="2046">M560/J560</f>
        <v>0.19861513793103452</v>
      </c>
      <c r="O560" s="183">
        <f t="shared" ref="O560" si="2047">N560/(A560/365.25)</f>
        <v>8.2812989873641968E-2</v>
      </c>
      <c r="P560" s="182" t="b">
        <f t="shared" ref="P560" si="2048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9">I560-R560</f>
        <v>121497.79000000001</v>
      </c>
      <c r="T560" s="173">
        <v>-31069</v>
      </c>
      <c r="U560" s="173">
        <f t="shared" ref="U560" si="2050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15"/>
        <v>0.28686005262049236</v>
      </c>
      <c r="Y560" s="807">
        <f t="shared" si="1816"/>
        <v>-0.11000246827889293</v>
      </c>
    </row>
    <row r="561" spans="1:25" ht="20.100000000000001" customHeight="1" x14ac:dyDescent="0.25">
      <c r="A561" s="163">
        <f t="shared" ref="A561" si="2051">B561-$B$2</f>
        <v>877</v>
      </c>
      <c r="B561" s="172">
        <v>43110</v>
      </c>
      <c r="C561" s="215">
        <v>2748.23</v>
      </c>
      <c r="D561" s="171">
        <f t="shared" ref="D561" si="2052">(C561-C560)/C560</f>
        <v>-1.1122055472160134E-3</v>
      </c>
      <c r="E561" s="209">
        <f t="shared" ref="E561" si="2053">(C561-$C$2)/$C$2</f>
        <v>0.30716215444911626</v>
      </c>
      <c r="F561" s="219">
        <v>7153.57</v>
      </c>
      <c r="G561" s="171">
        <f t="shared" ref="G561" si="2054">(F561-F560)/F560</f>
        <v>-1.3959520183372258E-3</v>
      </c>
      <c r="H561" s="203">
        <f t="shared" ref="H561" si="2055">(F561-F$2)/F$2</f>
        <v>0.40494726712100082</v>
      </c>
      <c r="I561" s="221">
        <v>346712.84</v>
      </c>
      <c r="J561" s="173">
        <v>290000</v>
      </c>
      <c r="K561" s="173">
        <f t="shared" ref="K561" si="2056">I561-I560-J561+J560</f>
        <v>-885.54999999998836</v>
      </c>
      <c r="L561" s="171">
        <f t="shared" ref="L561" si="2057">K561/I560</f>
        <v>-2.5476239979131902E-3</v>
      </c>
      <c r="M561" s="182">
        <f t="shared" ref="M561" si="2058">I561-J561</f>
        <v>56712.840000000026</v>
      </c>
      <c r="N561" s="184">
        <f t="shared" ref="N561" si="2059">M561/J561</f>
        <v>0.19556151724137941</v>
      </c>
      <c r="O561" s="183">
        <f t="shared" ref="O561" si="2060">N561/(A561/365.25)</f>
        <v>8.1446800652695356E-2</v>
      </c>
      <c r="P561" s="182" t="b">
        <f t="shared" ref="P561" si="2061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62">I561-R561</f>
        <v>121497.79000000004</v>
      </c>
      <c r="T561" s="173">
        <v>-30783</v>
      </c>
      <c r="U561" s="173">
        <f t="shared" ref="U561" si="2063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15"/>
        <v>0.28237304873145685</v>
      </c>
      <c r="Y561" s="807">
        <f t="shared" si="1816"/>
        <v>-0.11160063720773686</v>
      </c>
    </row>
    <row r="562" spans="1:25" ht="20.100000000000001" customHeight="1" x14ac:dyDescent="0.25">
      <c r="A562" s="163">
        <f t="shared" ref="A562" si="2064">B562-$B$2</f>
        <v>878</v>
      </c>
      <c r="B562" s="172">
        <v>43111</v>
      </c>
      <c r="C562" s="215">
        <v>2767.56</v>
      </c>
      <c r="D562" s="171">
        <f t="shared" ref="D562" si="2065">(C562-C561)/C561</f>
        <v>7.0336180014045138E-3</v>
      </c>
      <c r="E562" s="209">
        <f t="shared" ref="E562" si="2066">(C562-$C$2)/$C$2</f>
        <v>0.31635623370940424</v>
      </c>
      <c r="F562" s="219">
        <v>7211.77</v>
      </c>
      <c r="G562" s="171">
        <f t="shared" ref="G562" si="2067">(F562-F561)/F561</f>
        <v>8.1357979302642911E-3</v>
      </c>
      <c r="H562" s="203">
        <f t="shared" ref="H562" si="2068">(F562-F$2)/F$2</f>
        <v>0.41637763418897433</v>
      </c>
      <c r="I562" s="221">
        <v>352178.1</v>
      </c>
      <c r="J562" s="173">
        <v>290000</v>
      </c>
      <c r="K562" s="173">
        <f t="shared" ref="K562" si="2069">I562-I561-J562+J561</f>
        <v>5465.2599999999511</v>
      </c>
      <c r="L562" s="171">
        <f t="shared" ref="L562" si="2070">K562/I561</f>
        <v>1.5763073556779583E-2</v>
      </c>
      <c r="M562" s="182">
        <f t="shared" ref="M562" si="2071">I562-J562</f>
        <v>62178.099999999977</v>
      </c>
      <c r="N562" s="184">
        <f t="shared" ref="N562" si="2072">M562/J562</f>
        <v>0.21440724137931028</v>
      </c>
      <c r="O562" s="183">
        <f t="shared" ref="O562" si="2073">N562/(A562/365.25)</f>
        <v>8.9193900812976179E-2</v>
      </c>
      <c r="P562" s="182" t="b">
        <f t="shared" ref="P562" si="2074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75">I562-R562</f>
        <v>134078.84999999998</v>
      </c>
      <c r="T562" s="173">
        <v>-30666</v>
      </c>
      <c r="U562" s="173">
        <f t="shared" ref="U562" si="2076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15"/>
        <v>0.30931697621686</v>
      </c>
      <c r="Y562" s="807">
        <f t="shared" si="1816"/>
        <v>-0.10194899233009397</v>
      </c>
    </row>
    <row r="563" spans="1:25" ht="20.100000000000001" customHeight="1" x14ac:dyDescent="0.25">
      <c r="A563" s="163">
        <f t="shared" ref="A563" si="2077">B563-$B$2</f>
        <v>879</v>
      </c>
      <c r="B563" s="172">
        <v>43112</v>
      </c>
      <c r="C563" s="215">
        <v>2786.24</v>
      </c>
      <c r="D563" s="171">
        <f t="shared" ref="D563" si="2078">(C563-C562)/C562</f>
        <v>6.7496278310135412E-3</v>
      </c>
      <c r="E563" s="209">
        <f t="shared" ref="E563" si="2079">(C563-$C$2)/$C$2</f>
        <v>0.32524114837997742</v>
      </c>
      <c r="F563" s="219">
        <v>7261.06</v>
      </c>
      <c r="G563" s="171">
        <f t="shared" ref="G563" si="2080">(F563-F562)/F562</f>
        <v>6.8346605618315563E-3</v>
      </c>
      <c r="H563" s="203">
        <f t="shared" ref="H563" si="2081">(F563-F$2)/F$2</f>
        <v>0.426058094546026</v>
      </c>
      <c r="I563" s="221">
        <v>354257.05</v>
      </c>
      <c r="J563" s="173">
        <v>290000</v>
      </c>
      <c r="K563" s="173">
        <f t="shared" ref="K563" si="2082">I563-I562-J563+J562</f>
        <v>2078.9500000000116</v>
      </c>
      <c r="L563" s="171">
        <f t="shared" ref="L563" si="2083">K563/I562</f>
        <v>5.9031211764729603E-3</v>
      </c>
      <c r="M563" s="182">
        <f t="shared" ref="M563" si="2084">I563-J563</f>
        <v>64257.049999999988</v>
      </c>
      <c r="N563" s="184">
        <f t="shared" ref="N563" si="2085">M563/J563</f>
        <v>0.22157603448275859</v>
      </c>
      <c r="O563" s="183">
        <f t="shared" ref="O563" si="2086">N563/(A563/365.25)</f>
        <v>9.2071270301282801E-2</v>
      </c>
      <c r="P563" s="182" t="b">
        <f t="shared" ref="P563" si="2087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88">I563-R563</f>
        <v>144144.44999999998</v>
      </c>
      <c r="T563" s="173">
        <v>-30546</v>
      </c>
      <c r="U563" s="173">
        <f t="shared" ref="U563" si="2089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15"/>
        <v>0.31955709108186414</v>
      </c>
      <c r="Y563" s="807">
        <f t="shared" si="1816"/>
        <v>-0.10366511389721883</v>
      </c>
    </row>
    <row r="564" spans="1:25" ht="20.100000000000001" customHeight="1" x14ac:dyDescent="0.25">
      <c r="A564" s="163">
        <f t="shared" ref="A564" si="2090">B564-$B$2</f>
        <v>883</v>
      </c>
      <c r="B564" s="172">
        <v>43116</v>
      </c>
      <c r="C564" s="215">
        <v>2776.42</v>
      </c>
      <c r="D564" s="171">
        <f t="shared" ref="D564" si="2091">(C564-C563)/C563</f>
        <v>-3.5244630756861252E-3</v>
      </c>
      <c r="E564" s="209">
        <f t="shared" ref="E564" si="2092">(C564-$C$2)/$C$2</f>
        <v>0.32057038488613232</v>
      </c>
      <c r="F564" s="219">
        <v>7223.68</v>
      </c>
      <c r="G564" s="171">
        <f t="shared" ref="G564" si="2093">(F564-F563)/F563</f>
        <v>-5.148008692945673E-3</v>
      </c>
      <c r="H564" s="203">
        <f t="shared" ref="H564" si="2094">(F564-F$2)/F$2</f>
        <v>0.41871673507865753</v>
      </c>
      <c r="I564" s="221">
        <v>351080.55</v>
      </c>
      <c r="J564" s="173">
        <v>290000</v>
      </c>
      <c r="K564" s="173">
        <f t="shared" ref="K564" si="2095">I564-I563-J564+J563</f>
        <v>-3176.5</v>
      </c>
      <c r="L564" s="171">
        <f t="shared" ref="L564" si="2096">K564/I563</f>
        <v>-8.9666528866539138E-3</v>
      </c>
      <c r="M564" s="182">
        <f t="shared" ref="M564" si="2097">I564-J564</f>
        <v>61080.549999999988</v>
      </c>
      <c r="N564" s="184">
        <f t="shared" ref="N564" si="2098">M564/J564</f>
        <v>0.2106225862068965</v>
      </c>
      <c r="O564" s="183">
        <f t="shared" ref="O564" si="2099">N564/(A564/365.25)</f>
        <v>8.7123329118990886E-2</v>
      </c>
      <c r="P564" s="182" t="b">
        <f t="shared" ref="P564" si="2100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101">I564-R564</f>
        <v>134435.44999999998</v>
      </c>
      <c r="T564" s="173">
        <v>-30403</v>
      </c>
      <c r="U564" s="173">
        <f t="shared" ref="U564" si="2102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15"/>
        <v>0.30257794885746647</v>
      </c>
      <c r="Y564" s="807">
        <f t="shared" si="1816"/>
        <v>-0.10994779867923582</v>
      </c>
    </row>
    <row r="565" spans="1:25" ht="20.100000000000001" customHeight="1" x14ac:dyDescent="0.25">
      <c r="A565" s="163">
        <f t="shared" ref="A565" si="2103">B565-$B$2</f>
        <v>884</v>
      </c>
      <c r="B565" s="172">
        <v>43117</v>
      </c>
      <c r="C565" s="215">
        <v>2802.56</v>
      </c>
      <c r="D565" s="171">
        <f t="shared" ref="D565" si="2104">(C565-C564)/C564</f>
        <v>9.4150020530034614E-3</v>
      </c>
      <c r="E565" s="209">
        <f t="shared" ref="E565" si="2105">(C565-$C$2)/$C$2</f>
        <v>0.33300355777097079</v>
      </c>
      <c r="F565" s="219">
        <v>7298.27</v>
      </c>
      <c r="G565" s="171">
        <f t="shared" ref="G565" si="2106">(F565-F564)/F564</f>
        <v>1.0325761938513353E-2</v>
      </c>
      <c r="H565" s="203">
        <f t="shared" ref="H565" si="2107">(F565-F$2)/F$2</f>
        <v>0.43336606634326469</v>
      </c>
      <c r="I565" s="221">
        <v>354388.75</v>
      </c>
      <c r="J565" s="173">
        <v>290000</v>
      </c>
      <c r="K565" s="173">
        <f t="shared" ref="K565" si="2108">I565-I564-J565+J564</f>
        <v>3308.2000000000116</v>
      </c>
      <c r="L565" s="171">
        <f t="shared" ref="L565" si="2109">K565/I564</f>
        <v>9.4229087883108634E-3</v>
      </c>
      <c r="M565" s="182">
        <f t="shared" ref="M565" si="2110">I565-J565</f>
        <v>64388.75</v>
      </c>
      <c r="N565" s="184">
        <f t="shared" ref="N565" si="2111">M565/J565</f>
        <v>0.22203017241379311</v>
      </c>
      <c r="O565" s="183">
        <f t="shared" ref="O565" si="2112">N565/(A565/365.25)</f>
        <v>9.1738145332735208E-2</v>
      </c>
      <c r="P565" s="182" t="b">
        <f t="shared" ref="P565" si="2113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14">I565-R565</f>
        <v>144022.1</v>
      </c>
      <c r="T565" s="173">
        <v>-29857</v>
      </c>
      <c r="U565" s="173">
        <f t="shared" ref="U565" si="2115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16">O565/W565</f>
        <v>0.31882255498684342</v>
      </c>
      <c r="Y565" s="807">
        <f t="shared" si="1816"/>
        <v>-0.11097338535717768</v>
      </c>
    </row>
    <row r="566" spans="1:25" ht="20.100000000000001" customHeight="1" x14ac:dyDescent="0.25">
      <c r="A566" s="163">
        <f t="shared" ref="A566" si="2117">B566-$B$2</f>
        <v>885</v>
      </c>
      <c r="B566" s="172">
        <v>43118</v>
      </c>
      <c r="C566" s="215">
        <v>2798.03</v>
      </c>
      <c r="D566" s="171">
        <f t="shared" ref="D566" si="2118">(C566-C565)/C565</f>
        <v>-1.6163793103447367E-3</v>
      </c>
      <c r="E566" s="209">
        <f t="shared" ref="E566" si="2119">(C566-$C$2)/$C$2</f>
        <v>0.33084891839957387</v>
      </c>
      <c r="F566" s="219">
        <v>7296.04</v>
      </c>
      <c r="G566" s="171">
        <f t="shared" ref="G566" si="2120">(F566-F565)/F565</f>
        <v>-3.0555186366090493E-4</v>
      </c>
      <c r="H566" s="203">
        <f t="shared" ref="H566" si="2121">(F566-F$2)/F$2</f>
        <v>0.43292809867038518</v>
      </c>
      <c r="I566" s="221">
        <v>353987.72</v>
      </c>
      <c r="J566" s="173">
        <v>290000</v>
      </c>
      <c r="K566" s="173">
        <f t="shared" ref="K566" si="2122">I566-I565-J566+J565</f>
        <v>-401.03000000002794</v>
      </c>
      <c r="L566" s="171">
        <f t="shared" ref="L566" si="2123">K566/I565</f>
        <v>-1.1316104137053672E-3</v>
      </c>
      <c r="M566" s="182">
        <f t="shared" ref="M566" si="2124">I566-J566</f>
        <v>63987.719999999972</v>
      </c>
      <c r="N566" s="184">
        <f t="shared" ref="N566" si="2125">M566/J566</f>
        <v>0.22064731034482749</v>
      </c>
      <c r="O566" s="183">
        <f t="shared" ref="O566" si="2126">N566/(A566/365.25)</f>
        <v>9.1063762828755071E-2</v>
      </c>
      <c r="P566" s="182" t="b">
        <f t="shared" ref="P566" si="2127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28">I566-R566</f>
        <v>141582.06999999998</v>
      </c>
      <c r="T566" s="173">
        <v>-30624</v>
      </c>
      <c r="U566" s="173">
        <f t="shared" ref="U566" si="2129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30">O566/W566</f>
        <v>0.31675752410721358</v>
      </c>
      <c r="Y566" s="807">
        <f t="shared" si="1816"/>
        <v>-0.11020160805474638</v>
      </c>
    </row>
    <row r="567" spans="1:25" ht="20.100000000000001" customHeight="1" x14ac:dyDescent="0.25">
      <c r="A567" s="163">
        <f t="shared" ref="A567" si="2131">B567-$B$2</f>
        <v>886</v>
      </c>
      <c r="B567" s="172">
        <v>43119</v>
      </c>
      <c r="C567" s="215">
        <v>2810.3</v>
      </c>
      <c r="D567" s="171">
        <f t="shared" ref="D567" si="2132">(C567-C566)/C566</f>
        <v>4.3852281783969367E-3</v>
      </c>
      <c r="E567" s="209">
        <f t="shared" ref="E567" si="2133">(C567-$C$2)/$C$2</f>
        <v>0.33668499457772877</v>
      </c>
      <c r="F567" s="219">
        <v>7336.38</v>
      </c>
      <c r="G567" s="171">
        <f t="shared" ref="G567" si="2134">(F567-F566)/F566</f>
        <v>5.5290267048974714E-3</v>
      </c>
      <c r="H567" s="203">
        <f t="shared" ref="H567" si="2135">(F567-F$2)/F$2</f>
        <v>0.44085079639413172</v>
      </c>
      <c r="I567" s="221">
        <v>365192.76</v>
      </c>
      <c r="J567" s="173">
        <v>300000</v>
      </c>
      <c r="K567" s="173">
        <f t="shared" ref="K567" si="2136">I567-I566-J567+J566</f>
        <v>1205.0400000000373</v>
      </c>
      <c r="L567" s="171">
        <f t="shared" ref="L567" si="2137">K567/I566</f>
        <v>3.4041858853183873E-3</v>
      </c>
      <c r="M567" s="182">
        <f t="shared" ref="M567" si="2138">I567-J567</f>
        <v>65192.760000000009</v>
      </c>
      <c r="N567" s="184">
        <f t="shared" ref="N567" si="2139">M567/J567</f>
        <v>0.21730920000000004</v>
      </c>
      <c r="O567" s="183">
        <f t="shared" ref="O567" si="2140">N567/(A567/365.25)</f>
        <v>8.9584859255079016E-2</v>
      </c>
      <c r="P567" s="182" t="b">
        <f t="shared" ref="P567" si="2141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42">I567-R567</f>
        <v>160521.86000000002</v>
      </c>
      <c r="T567" s="173">
        <v>-30347</v>
      </c>
      <c r="U567" s="173">
        <f t="shared" ref="U567" si="2143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44">O567/W567</f>
        <v>0.31188354803070534</v>
      </c>
      <c r="Y567" s="807">
        <f t="shared" si="1816"/>
        <v>-0.11937579457772873</v>
      </c>
    </row>
    <row r="568" spans="1:25" ht="20.100000000000001" customHeight="1" x14ac:dyDescent="0.25">
      <c r="A568" s="163">
        <f t="shared" ref="A568" si="2145">B568-$B$2</f>
        <v>889</v>
      </c>
      <c r="B568" s="172">
        <v>43122</v>
      </c>
      <c r="C568" s="215">
        <v>2832.97</v>
      </c>
      <c r="D568" s="171">
        <f t="shared" ref="D568" si="2146">(C568-C567)/C567</f>
        <v>8.0667544390277245E-3</v>
      </c>
      <c r="E568" s="209">
        <f t="shared" ref="E568" si="2147">(C568-$C$2)/$C$2</f>
        <v>0.34746770419132045</v>
      </c>
      <c r="F568" s="219">
        <v>7408.03</v>
      </c>
      <c r="G568" s="171">
        <f t="shared" ref="G568" si="2148">(F568-F567)/F567</f>
        <v>9.7663970514067742E-3</v>
      </c>
      <c r="H568" s="203">
        <f t="shared" ref="H568" si="2149">(F568-F$2)/F$2</f>
        <v>0.45492271736355244</v>
      </c>
      <c r="I568" s="221">
        <v>368309.46</v>
      </c>
      <c r="J568" s="173">
        <v>300000</v>
      </c>
      <c r="K568" s="173">
        <f t="shared" ref="K568" si="2150">I568-I567-J568+J567</f>
        <v>3116.7000000000116</v>
      </c>
      <c r="L568" s="171">
        <f t="shared" ref="L568" si="2151">K568/I567</f>
        <v>8.5343970126899871E-3</v>
      </c>
      <c r="M568" s="182">
        <f t="shared" ref="M568" si="2152">I568-J568</f>
        <v>68309.460000000021</v>
      </c>
      <c r="N568" s="184">
        <f t="shared" ref="N568" si="2153">M568/J568</f>
        <v>0.22769820000000007</v>
      </c>
      <c r="O568" s="183">
        <f t="shared" ref="O568" si="2154">N568/(A568/365.25)</f>
        <v>9.3550919628796428E-2</v>
      </c>
      <c r="P568" s="182" t="b">
        <f t="shared" ref="P568" si="2155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56">I568-R568</f>
        <v>148229.66000000003</v>
      </c>
      <c r="T568" s="173">
        <v>-30244</v>
      </c>
      <c r="U568" s="173">
        <f t="shared" ref="U568" si="2157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58">O568/W568</f>
        <v>0.32592514204778938</v>
      </c>
      <c r="Y568" s="807">
        <f t="shared" si="1816"/>
        <v>-0.11976950419132038</v>
      </c>
    </row>
    <row r="569" spans="1:25" ht="20.100000000000001" customHeight="1" x14ac:dyDescent="0.25">
      <c r="A569" s="163">
        <f t="shared" ref="A569" si="2159">B569-$B$2</f>
        <v>890</v>
      </c>
      <c r="B569" s="172">
        <v>43123</v>
      </c>
      <c r="C569" s="215">
        <v>2839.12</v>
      </c>
      <c r="D569" s="171">
        <f t="shared" ref="D569" si="2160">(C569-C568)/C568</f>
        <v>2.170866617013273E-3</v>
      </c>
      <c r="E569" s="209">
        <f t="shared" ref="E569" si="2161">(C569-$C$2)/$C$2</f>
        <v>0.35039287684785286</v>
      </c>
      <c r="F569" s="219">
        <v>7460.28</v>
      </c>
      <c r="G569" s="171">
        <f t="shared" ref="G569" si="2162">(F569-F568)/F568</f>
        <v>7.0531571821388413E-3</v>
      </c>
      <c r="H569" s="203">
        <f t="shared" ref="H569" si="2163">(F569-F$2)/F$2</f>
        <v>0.46518451597698213</v>
      </c>
      <c r="I569" s="221">
        <v>368315.52</v>
      </c>
      <c r="J569" s="173">
        <v>300000</v>
      </c>
      <c r="K569" s="173">
        <f t="shared" ref="K569" si="2164">I569-I568-J569+J568</f>
        <v>6.0599999999976717</v>
      </c>
      <c r="L569" s="171">
        <f t="shared" ref="L569" si="2165">K569/I568</f>
        <v>1.6453555116389548E-5</v>
      </c>
      <c r="M569" s="182">
        <f t="shared" ref="M569" si="2166">I569-J569</f>
        <v>68315.520000000019</v>
      </c>
      <c r="N569" s="184">
        <f t="shared" ref="N569" si="2167">M569/J569</f>
        <v>0.22771840000000007</v>
      </c>
      <c r="O569" s="183">
        <f t="shared" ref="O569" si="2168">N569/(A569/365.25)</f>
        <v>9.3454096179775306E-2</v>
      </c>
      <c r="P569" s="182" t="b">
        <f t="shared" ref="P569" si="2169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70">I569-R569</f>
        <v>149858.77000000002</v>
      </c>
      <c r="T569" s="173">
        <v>-30209</v>
      </c>
      <c r="U569" s="173">
        <f t="shared" ref="U569" si="2171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72">O569/W569</f>
        <v>0.32587543496883586</v>
      </c>
      <c r="Y569" s="807">
        <f t="shared" si="1816"/>
        <v>-0.12267447684785279</v>
      </c>
    </row>
    <row r="570" spans="1:25" ht="20.100000000000001" customHeight="1" x14ac:dyDescent="0.25">
      <c r="A570" s="163">
        <f t="shared" ref="A570" si="2173">B570-$B$2</f>
        <v>891</v>
      </c>
      <c r="B570" s="172">
        <v>43124</v>
      </c>
      <c r="C570" s="215">
        <v>2837.54</v>
      </c>
      <c r="D570" s="171">
        <f t="shared" ref="D570" si="2174">(C570-C569)/C569</f>
        <v>-5.5651046803232239E-4</v>
      </c>
      <c r="E570" s="209">
        <f t="shared" ref="E570" si="2175">(C570-$C$2)/$C$2</f>
        <v>0.3496413690759308</v>
      </c>
      <c r="F570" s="219">
        <v>7415.05</v>
      </c>
      <c r="G570" s="171">
        <f t="shared" ref="G570" si="2176">(F570-F569)/F569</f>
        <v>-6.0627751237218395E-3</v>
      </c>
      <c r="H570" s="203">
        <f t="shared" ref="H570" si="2177">(F570-F$2)/F$2</f>
        <v>0.4563014317418545</v>
      </c>
      <c r="I570" s="221">
        <v>368621.05</v>
      </c>
      <c r="J570" s="173">
        <v>300000</v>
      </c>
      <c r="K570" s="173">
        <f t="shared" ref="K570" si="2178">I570-I569-J570+J569</f>
        <v>305.52999999996973</v>
      </c>
      <c r="L570" s="171">
        <f t="shared" ref="L570" si="2179">K570/I569</f>
        <v>8.2953333055302617E-4</v>
      </c>
      <c r="M570" s="182">
        <f t="shared" ref="M570" si="2180">I570-J570</f>
        <v>68621.049999999988</v>
      </c>
      <c r="N570" s="184">
        <f t="shared" ref="N570" si="2181">M570/J570</f>
        <v>0.22873683333333331</v>
      </c>
      <c r="O570" s="183">
        <f t="shared" ref="O570" si="2182">N570/(A570/365.25)</f>
        <v>9.3766698512906838E-2</v>
      </c>
      <c r="P570" s="182" t="b">
        <f t="shared" ref="P570" si="2183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84">I570-R570</f>
        <v>149024.19999999998</v>
      </c>
      <c r="T570" s="173">
        <v>-30343</v>
      </c>
      <c r="U570" s="173">
        <f t="shared" ref="U570" si="2185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86">O570/W570</f>
        <v>0.32725417304130078</v>
      </c>
      <c r="Y570" s="807">
        <f t="shared" si="1816"/>
        <v>-0.12090453574259749</v>
      </c>
    </row>
    <row r="571" spans="1:25" ht="20.100000000000001" customHeight="1" x14ac:dyDescent="0.25">
      <c r="A571" s="163">
        <f t="shared" ref="A571" si="2187">B571-$B$2</f>
        <v>892</v>
      </c>
      <c r="B571" s="172">
        <v>43125</v>
      </c>
      <c r="C571" s="215">
        <v>2839.25</v>
      </c>
      <c r="D571" s="171">
        <f t="shared" ref="D571" si="2188">(C571-C570)/C570</f>
        <v>6.0263467651558618E-4</v>
      </c>
      <c r="E571" s="209">
        <f t="shared" ref="E571" si="2189">(C571-$C$2)/$C$2</f>
        <v>0.3504547097657959</v>
      </c>
      <c r="F571" s="219">
        <v>7411.16</v>
      </c>
      <c r="G571" s="171">
        <f t="shared" ref="G571" si="2190">(F571-F570)/F570</f>
        <v>-5.2460873493777218E-4</v>
      </c>
      <c r="H571" s="203">
        <f t="shared" ref="H571" si="2191">(F571-F$2)/F$2</f>
        <v>0.4555374432900603</v>
      </c>
      <c r="I571" s="221">
        <v>365192.24</v>
      </c>
      <c r="J571" s="173">
        <v>300000</v>
      </c>
      <c r="K571" s="173">
        <f t="shared" ref="K571" si="2192">I571-I570-J571+J570</f>
        <v>-3428.8099999999977</v>
      </c>
      <c r="L571" s="171">
        <f t="shared" ref="L571" si="2193">K571/I570</f>
        <v>-9.3017205609934595E-3</v>
      </c>
      <c r="M571" s="182">
        <f t="shared" ref="M571" si="2194">I571-J571</f>
        <v>65192.239999999991</v>
      </c>
      <c r="N571" s="184">
        <f t="shared" ref="N571" si="2195">M571/J571</f>
        <v>0.21730746666666664</v>
      </c>
      <c r="O571" s="183">
        <f t="shared" ref="O571" si="2196">N571/(A571/365.25)</f>
        <v>8.8981560762331838E-2</v>
      </c>
      <c r="P571" s="182" t="b">
        <f t="shared" ref="P571" si="2197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98">I571-R571</f>
        <v>151785.99</v>
      </c>
      <c r="T571" s="173">
        <v>-32432</v>
      </c>
      <c r="U571" s="173">
        <f t="shared" ref="U571" si="2199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200">O571/W571</f>
        <v>0.31074376950994032</v>
      </c>
      <c r="Y571" s="807">
        <f t="shared" si="1816"/>
        <v>-0.13314724309912926</v>
      </c>
    </row>
    <row r="572" spans="1:25" ht="20.100000000000001" customHeight="1" x14ac:dyDescent="0.25">
      <c r="A572" s="163">
        <f t="shared" ref="A572" si="2201">B572-$B$2</f>
        <v>893</v>
      </c>
      <c r="B572" s="172">
        <v>43126</v>
      </c>
      <c r="C572" s="215">
        <v>2872.87</v>
      </c>
      <c r="D572" s="171">
        <f t="shared" ref="D572" si="2202">(C572-C571)/C571</f>
        <v>1.1841155234657001E-2</v>
      </c>
      <c r="E572" s="209">
        <f t="shared" ref="E572" si="2203">(C572-$C$2)/$C$2</f>
        <v>0.36644565362150633</v>
      </c>
      <c r="F572" s="219">
        <v>7505.77</v>
      </c>
      <c r="G572" s="171">
        <f t="shared" ref="G572" si="2204">(F572-F571)/F571</f>
        <v>1.2765882803771687E-2</v>
      </c>
      <c r="H572" s="203">
        <f t="shared" ref="H572" si="2205">(F572-F$2)/F$2</f>
        <v>0.47411866370760269</v>
      </c>
      <c r="I572" s="221">
        <v>367940.03</v>
      </c>
      <c r="J572" s="173">
        <v>300000</v>
      </c>
      <c r="K572" s="173">
        <f t="shared" ref="K572" si="2206">I572-I571-J572+J571</f>
        <v>2747.7900000000373</v>
      </c>
      <c r="L572" s="171">
        <f t="shared" ref="L572" si="2207">K572/I571</f>
        <v>7.5242288828482155E-3</v>
      </c>
      <c r="M572" s="182">
        <f t="shared" ref="M572" si="2208">I572-J572</f>
        <v>67940.030000000028</v>
      </c>
      <c r="N572" s="184">
        <f t="shared" ref="N572" si="2209">M572/J572</f>
        <v>0.22646676666666676</v>
      </c>
      <c r="O572" s="183">
        <f t="shared" ref="O572" si="2210">N572/(A572/365.25)</f>
        <v>9.2628204395296801E-2</v>
      </c>
      <c r="P572" s="182" t="b">
        <f t="shared" ref="P572" si="2211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12">I572-R572</f>
        <v>178212.28000000003</v>
      </c>
      <c r="T572" s="173">
        <v>-32122</v>
      </c>
      <c r="U572" s="173">
        <f t="shared" ref="U572" si="2213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14">O572/W572</f>
        <v>0.32372209409395913</v>
      </c>
      <c r="Y572" s="807">
        <f t="shared" si="1816"/>
        <v>-0.13997888695483957</v>
      </c>
    </row>
    <row r="573" spans="1:25" ht="20.100000000000001" customHeight="1" x14ac:dyDescent="0.25">
      <c r="A573" s="163">
        <f t="shared" ref="A573" si="2215">B573-$B$2</f>
        <v>896</v>
      </c>
      <c r="B573" s="172">
        <v>43129</v>
      </c>
      <c r="C573" s="215">
        <v>2853.53</v>
      </c>
      <c r="D573" s="171">
        <f t="shared" ref="D573" si="2216">(C573-C572)/C572</f>
        <v>-6.7319440141738723E-3</v>
      </c>
      <c r="E573" s="209">
        <f t="shared" ref="E573" si="2217">(C573-$C$2)/$C$2</f>
        <v>0.35724681798291513</v>
      </c>
      <c r="F573" s="219">
        <v>7466.5</v>
      </c>
      <c r="G573" s="171">
        <f t="shared" ref="G573" si="2218">(F573-F572)/F572</f>
        <v>-5.2319748673354547E-3</v>
      </c>
      <c r="H573" s="203">
        <f t="shared" ref="H573" si="2219">(F573-F$2)/F$2</f>
        <v>0.46640611190761438</v>
      </c>
      <c r="I573" s="221">
        <v>367642.25</v>
      </c>
      <c r="J573" s="173">
        <v>300000</v>
      </c>
      <c r="K573" s="173">
        <f t="shared" ref="K573" si="2220">I573-I572-J573+J572</f>
        <v>-297.78000000002794</v>
      </c>
      <c r="L573" s="171">
        <f t="shared" ref="L573" si="2221">K573/I572</f>
        <v>-8.0931667043683151E-4</v>
      </c>
      <c r="M573" s="182">
        <f t="shared" ref="M573" si="2222">I573-J573</f>
        <v>67642.25</v>
      </c>
      <c r="N573" s="184">
        <f t="shared" ref="N573" si="2223">M573/J573</f>
        <v>0.22547416666666667</v>
      </c>
      <c r="O573" s="183">
        <f t="shared" ref="O573" si="2224">N573/(A573/365.25)</f>
        <v>9.1913436802455367E-2</v>
      </c>
      <c r="P573" s="182" t="b">
        <f t="shared" ref="P573" si="2225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26">I573-R573</f>
        <v>177913.5</v>
      </c>
      <c r="T573" s="173">
        <v>-32121</v>
      </c>
      <c r="U573" s="173">
        <f t="shared" ref="U573" si="2227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28">O573/W573</f>
        <v>0.32150433122995509</v>
      </c>
      <c r="Y573" s="807">
        <f t="shared" si="1816"/>
        <v>-0.13177265131624846</v>
      </c>
    </row>
    <row r="574" spans="1:25" ht="20.100000000000001" customHeight="1" x14ac:dyDescent="0.25">
      <c r="A574" s="163">
        <f t="shared" ref="A574" si="2229">B574-$B$2</f>
        <v>897</v>
      </c>
      <c r="B574" s="172">
        <v>43130</v>
      </c>
      <c r="C574" s="215">
        <v>2822.43</v>
      </c>
      <c r="D574" s="171">
        <f t="shared" ref="D574" si="2230">(C574-C573)/C573</f>
        <v>-1.0898781509218533E-2</v>
      </c>
      <c r="E574" s="209">
        <f t="shared" ref="E574" si="2231">(C574-$C$2)/$C$2</f>
        <v>0.34245448145963725</v>
      </c>
      <c r="F574" s="219">
        <v>7402.48</v>
      </c>
      <c r="G574" s="171">
        <f t="shared" ref="G574" si="2232">(F574-F573)/F573</f>
        <v>-8.5742985334494662E-3</v>
      </c>
      <c r="H574" s="203">
        <f t="shared" ref="H574" si="2233">(F574-F$2)/F$2</f>
        <v>0.4538327081328436</v>
      </c>
      <c r="I574" s="221">
        <v>363472.55</v>
      </c>
      <c r="J574" s="173">
        <v>300000</v>
      </c>
      <c r="K574" s="173">
        <f t="shared" ref="K574" si="2234">I574-I573-J574+J573</f>
        <v>-4169.7000000000116</v>
      </c>
      <c r="L574" s="171">
        <f t="shared" ref="L574" si="2235">K574/I573</f>
        <v>-1.1341732349859168E-2</v>
      </c>
      <c r="M574" s="182">
        <f t="shared" ref="M574" si="2236">I574-J574</f>
        <v>63472.549999999988</v>
      </c>
      <c r="N574" s="184">
        <f t="shared" ref="N574" si="2237">M574/J574</f>
        <v>0.21157516666666662</v>
      </c>
      <c r="O574" s="183">
        <f t="shared" ref="O574" si="2238">N574/(A574/365.25)</f>
        <v>8.6151426560758054E-2</v>
      </c>
      <c r="P574" s="182" t="b">
        <f t="shared" ref="P574" si="2239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40">I574-R574</f>
        <v>161319</v>
      </c>
      <c r="T574" s="173">
        <v>-32010</v>
      </c>
      <c r="U574" s="173">
        <f t="shared" ref="U574" si="2241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42">O574/W574</f>
        <v>0.30149621670372895</v>
      </c>
      <c r="Y574" s="807">
        <f t="shared" si="1816"/>
        <v>-0.13087931479297063</v>
      </c>
    </row>
    <row r="575" spans="1:25" ht="20.100000000000001" customHeight="1" x14ac:dyDescent="0.25">
      <c r="A575" s="163">
        <f t="shared" ref="A575" si="2243">B575-$B$2</f>
        <v>898</v>
      </c>
      <c r="B575" s="172">
        <v>43131</v>
      </c>
      <c r="C575" s="215">
        <v>2823.81</v>
      </c>
      <c r="D575" s="171">
        <f t="shared" ref="D575" si="2244">(C575-C574)/C574</f>
        <v>4.8894038116095327E-4</v>
      </c>
      <c r="E575" s="209">
        <f t="shared" ref="E575" si="2245">(C575-$C$2)/$C$2</f>
        <v>0.34311086166549337</v>
      </c>
      <c r="F575" s="219">
        <v>7411.48</v>
      </c>
      <c r="G575" s="171">
        <f t="shared" ref="G575" si="2246">(F575-F574)/F574</f>
        <v>1.215808755984481E-3</v>
      </c>
      <c r="H575" s="203">
        <f t="shared" ref="H575" si="2247">(F575-F$2)/F$2</f>
        <v>0.45560029066912816</v>
      </c>
      <c r="I575" s="472">
        <v>363062.5</v>
      </c>
      <c r="J575" s="173">
        <v>300000</v>
      </c>
      <c r="K575" s="173">
        <f t="shared" ref="K575" si="2248">I575-I574-J575+J574</f>
        <v>-410.04999999998836</v>
      </c>
      <c r="L575" s="171">
        <f t="shared" ref="L575" si="2249">K575/I574</f>
        <v>-1.1281457155429987E-3</v>
      </c>
      <c r="M575" s="472">
        <f t="shared" ref="M575" si="2250">I575-J575</f>
        <v>63062.5</v>
      </c>
      <c r="N575" s="184">
        <f t="shared" ref="N575" si="2251">M575/J575</f>
        <v>0.21020833333333333</v>
      </c>
      <c r="O575" s="183">
        <f t="shared" ref="O575" si="2252">N575/(A575/365.25)</f>
        <v>8.5499547605790635E-2</v>
      </c>
      <c r="P575" s="182" t="b">
        <f t="shared" ref="P575" si="2253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54">I575-R575</f>
        <v>137246</v>
      </c>
      <c r="T575" s="173">
        <v>-31812</v>
      </c>
      <c r="U575" s="173">
        <f t="shared" ref="U575" si="2255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56">O575/W575</f>
        <v>0.29947424513700288</v>
      </c>
      <c r="Y575" s="807">
        <f t="shared" si="1816"/>
        <v>-0.13290252833216004</v>
      </c>
    </row>
    <row r="576" spans="1:25" ht="20.100000000000001" customHeight="1" x14ac:dyDescent="0.25">
      <c r="A576" s="163">
        <f t="shared" ref="A576" si="2257">B576-$B$2</f>
        <v>899</v>
      </c>
      <c r="B576" s="172">
        <v>43132</v>
      </c>
      <c r="C576" s="215">
        <v>2821.98</v>
      </c>
      <c r="D576" s="171">
        <f t="shared" ref="D576" si="2258">(C576-C575)/C575</f>
        <v>-6.4806059897795079E-4</v>
      </c>
      <c r="E576" s="209">
        <f t="shared" ref="E576" si="2259">(C576-$C$2)/$C$2</f>
        <v>0.34224044443598861</v>
      </c>
      <c r="F576" s="219">
        <v>7385.86</v>
      </c>
      <c r="G576" s="171">
        <f t="shared" ref="G576" si="2260">(F576-F575)/F575</f>
        <v>-3.4567994516614621E-3</v>
      </c>
      <c r="H576" s="203">
        <f t="shared" ref="H576" si="2261">(F576-F$2)/F$2</f>
        <v>0.45056857238250486</v>
      </c>
      <c r="I576" s="221">
        <v>363770.56</v>
      </c>
      <c r="J576" s="173">
        <v>300000</v>
      </c>
      <c r="K576" s="173">
        <f t="shared" ref="K576" si="2262">I576-I575-J576+J575</f>
        <v>708.05999999999767</v>
      </c>
      <c r="L576" s="171">
        <f t="shared" ref="L576" si="2263">K576/I575</f>
        <v>1.95024272680323E-3</v>
      </c>
      <c r="M576" s="182">
        <f t="shared" ref="M576" si="2264">I576-J576</f>
        <v>63770.559999999998</v>
      </c>
      <c r="N576" s="184">
        <f t="shared" ref="N576" si="2265">M576/J576</f>
        <v>0.21256853333333334</v>
      </c>
      <c r="O576" s="183">
        <f t="shared" ref="O576" si="2266">N576/(A576/365.25)</f>
        <v>8.6363355728587318E-2</v>
      </c>
      <c r="P576" s="182" t="b">
        <f t="shared" ref="P576" si="2267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68">I576-R576</f>
        <v>130372.06</v>
      </c>
      <c r="T576" s="173">
        <v>-31543</v>
      </c>
      <c r="U576" s="173">
        <f t="shared" ref="U576" si="2269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70">O576/W576</f>
        <v>0.30276276861220686</v>
      </c>
      <c r="Y576" s="807">
        <f t="shared" si="1816"/>
        <v>-0.12967191110265527</v>
      </c>
    </row>
    <row r="577" spans="1:25" ht="20.100000000000001" customHeight="1" x14ac:dyDescent="0.25">
      <c r="A577" s="163">
        <f t="shared" ref="A577" si="2271">B577-$B$2</f>
        <v>900</v>
      </c>
      <c r="B577" s="172">
        <v>43133</v>
      </c>
      <c r="C577" s="215">
        <v>2762.13</v>
      </c>
      <c r="D577" s="171">
        <f t="shared" ref="D577" si="2272">(C577-C576)/C576</f>
        <v>-2.1208513171602886E-2</v>
      </c>
      <c r="E577" s="209">
        <f t="shared" ref="E577" si="2273">(C577-$C$2)/$C$2</f>
        <v>0.31377352029070987</v>
      </c>
      <c r="F577" s="219">
        <v>7240.94</v>
      </c>
      <c r="G577" s="171">
        <f t="shared" ref="G577" si="2274">(F577-F576)/F576</f>
        <v>-1.9621276330718439E-2</v>
      </c>
      <c r="H577" s="203">
        <f t="shared" ref="H577" si="2275">(F577-F$2)/F$2</f>
        <v>0.422106565587132</v>
      </c>
      <c r="I577" s="221">
        <v>356559.21</v>
      </c>
      <c r="J577" s="173">
        <v>300000</v>
      </c>
      <c r="K577" s="173">
        <f t="shared" ref="K577" si="2276">I577-I576-J577+J576</f>
        <v>-7211.3499999999767</v>
      </c>
      <c r="L577" s="171">
        <f t="shared" ref="L577" si="2277">K577/I576</f>
        <v>-1.9823896689165767E-2</v>
      </c>
      <c r="M577" s="182">
        <f t="shared" ref="M577" si="2278">I577-J577</f>
        <v>56559.210000000021</v>
      </c>
      <c r="N577" s="184">
        <f t="shared" ref="N577" si="2279">M577/J577</f>
        <v>0.18853070000000008</v>
      </c>
      <c r="O577" s="183">
        <f t="shared" ref="O577" si="2280">N577/(A577/365.25)</f>
        <v>7.651204241666669E-2</v>
      </c>
      <c r="P577" s="182" t="b">
        <f t="shared" ref="P577" si="2281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82">I577-R577</f>
        <v>99785.760000000009</v>
      </c>
      <c r="T577" s="173">
        <v>-31380</v>
      </c>
      <c r="U577" s="173">
        <f t="shared" ref="U577" si="2283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84">O577/W577</f>
        <v>0.26815815305107671</v>
      </c>
      <c r="Y577" s="807">
        <f t="shared" si="1816"/>
        <v>-0.12524282029070979</v>
      </c>
    </row>
    <row r="578" spans="1:25" ht="20.100000000000001" customHeight="1" x14ac:dyDescent="0.25">
      <c r="A578" s="163">
        <f t="shared" ref="A578" si="2285">B578-$B$2</f>
        <v>903</v>
      </c>
      <c r="B578" s="172">
        <v>43136</v>
      </c>
      <c r="C578" s="215">
        <v>2648.94</v>
      </c>
      <c r="D578" s="171">
        <f t="shared" ref="D578" si="2286">(C578-C577)/C577</f>
        <v>-4.0979244278871757E-2</v>
      </c>
      <c r="E578" s="209">
        <f t="shared" ref="E578" si="2287">(C578-$C$2)/$C$2</f>
        <v>0.25993607427560356</v>
      </c>
      <c r="F578" s="219">
        <v>6967.52</v>
      </c>
      <c r="G578" s="171">
        <f t="shared" ref="G578" si="2288">(F578-F577)/F577</f>
        <v>-3.7760290790974538E-2</v>
      </c>
      <c r="H578" s="203">
        <f t="shared" ref="H578" si="2289">(F578-F$2)/F$2</f>
        <v>0.36840740813480777</v>
      </c>
      <c r="I578" s="221">
        <v>346151.51</v>
      </c>
      <c r="J578" s="173">
        <v>300000</v>
      </c>
      <c r="K578" s="173">
        <f t="shared" ref="K578" si="2290">I578-I577-J578+J577</f>
        <v>-10407.700000000012</v>
      </c>
      <c r="L578" s="171">
        <f t="shared" ref="L578" si="2291">K578/I577</f>
        <v>-2.918926144131857E-2</v>
      </c>
      <c r="M578" s="182">
        <f t="shared" ref="M578" si="2292">I578-J578</f>
        <v>46151.510000000009</v>
      </c>
      <c r="N578" s="184">
        <f t="shared" ref="N578" si="2293">M578/J578</f>
        <v>0.1538383666666667</v>
      </c>
      <c r="O578" s="183">
        <f t="shared" ref="O578" si="2294">N578/(A578/365.25)</f>
        <v>6.2225319407530469E-2</v>
      </c>
      <c r="P578" s="182" t="b">
        <f t="shared" ref="P578" si="2295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96">I578-R578</f>
        <v>80176.94</v>
      </c>
      <c r="T578" s="173">
        <v>-31901</v>
      </c>
      <c r="U578" s="173">
        <f t="shared" ref="U578" si="2297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98">O578/W578</f>
        <v>0.21775628578151066</v>
      </c>
      <c r="Y578" s="807">
        <f t="shared" si="1816"/>
        <v>-0.10609770760893686</v>
      </c>
    </row>
    <row r="579" spans="1:25" ht="20.100000000000001" customHeight="1" x14ac:dyDescent="0.25">
      <c r="A579" s="163">
        <f t="shared" ref="A579" si="2299">B579-$B$2</f>
        <v>904</v>
      </c>
      <c r="B579" s="172">
        <v>43137</v>
      </c>
      <c r="C579" s="215">
        <v>2695.14</v>
      </c>
      <c r="D579" s="171">
        <f t="shared" ref="D579" si="2300">(C579-C578)/C578</f>
        <v>1.7440938639606718E-2</v>
      </c>
      <c r="E579" s="209">
        <f t="shared" ref="E579" si="2301">(C579-$C$2)/$C$2</f>
        <v>0.28191054203687133</v>
      </c>
      <c r="F579" s="219">
        <v>7115.88</v>
      </c>
      <c r="G579" s="171">
        <f t="shared" ref="G579" si="2302">(F579-F578)/F578</f>
        <v>2.1293085631616367E-2</v>
      </c>
      <c r="H579" s="203">
        <f t="shared" ref="H579" si="2303">(F579-F$2)/F$2</f>
        <v>0.39754502425516042</v>
      </c>
      <c r="I579" s="221">
        <v>368455.72</v>
      </c>
      <c r="J579" s="173">
        <v>315000</v>
      </c>
      <c r="K579" s="173">
        <f t="shared" ref="K579" si="2304">I579-I578-J579+J578</f>
        <v>7304.2099999999627</v>
      </c>
      <c r="L579" s="171">
        <f t="shared" ref="L579" si="2305">K579/I578</f>
        <v>2.1101193520721498E-2</v>
      </c>
      <c r="M579" s="182">
        <f t="shared" ref="M579" si="2306">I579-J579</f>
        <v>53455.719999999972</v>
      </c>
      <c r="N579" s="184">
        <f t="shared" ref="N579" si="2307">M579/J579</f>
        <v>0.16970069841269833</v>
      </c>
      <c r="O579" s="183">
        <f t="shared" ref="O579" si="2308">N579/(A579/365.25)</f>
        <v>6.8565464707121757E-2</v>
      </c>
      <c r="P579" s="182" t="b">
        <f t="shared" ref="P579" si="2309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10">I579-R579</f>
        <v>71456.31</v>
      </c>
      <c r="T579" s="173">
        <v>-31165</v>
      </c>
      <c r="U579" s="173">
        <f t="shared" ref="U579" si="2311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12">O579/W579</f>
        <v>0.23988103052421256</v>
      </c>
      <c r="Y579" s="807">
        <f t="shared" si="1816"/>
        <v>-0.11220984362417299</v>
      </c>
    </row>
    <row r="580" spans="1:25" ht="20.100000000000001" customHeight="1" x14ac:dyDescent="0.25">
      <c r="A580" s="163">
        <f t="shared" ref="A580" si="2313">B580-$B$2</f>
        <v>905</v>
      </c>
      <c r="B580" s="172">
        <v>43138</v>
      </c>
      <c r="C580" s="215">
        <v>2681.66</v>
      </c>
      <c r="D580" s="171">
        <f t="shared" ref="D580" si="2314">(C580-C579)/C579</f>
        <v>-5.0015954644285713E-3</v>
      </c>
      <c r="E580" s="209">
        <f t="shared" ref="E580" si="2315">(C580-$C$2)/$C$2</f>
        <v>0.27549894408401654</v>
      </c>
      <c r="F580" s="219">
        <v>7051.98</v>
      </c>
      <c r="G580" s="171">
        <f t="shared" ref="G580" si="2316">(F580-F579)/F579</f>
        <v>-8.979915344272324E-3</v>
      </c>
      <c r="H580" s="203">
        <f t="shared" ref="H580" si="2317">(F580-F$2)/F$2</f>
        <v>0.38499518824754009</v>
      </c>
      <c r="I580" s="221">
        <v>449047.22</v>
      </c>
      <c r="J580" s="173">
        <v>400000</v>
      </c>
      <c r="K580" s="173">
        <f t="shared" ref="K580" si="2318">I580-I579-J580+J579</f>
        <v>-4408.5</v>
      </c>
      <c r="L580" s="171">
        <f t="shared" ref="L580" si="2319">K580/I579</f>
        <v>-1.196480271767799E-2</v>
      </c>
      <c r="M580" s="182">
        <f t="shared" ref="M580" si="2320">I580-J580</f>
        <v>49047.219999999972</v>
      </c>
      <c r="N580" s="184">
        <f t="shared" ref="N580" si="2321">M580/J580</f>
        <v>0.12261804999999994</v>
      </c>
      <c r="O580" s="183">
        <f t="shared" ref="O580" si="2322">N580/(A580/365.25)</f>
        <v>4.9487561063535884E-2</v>
      </c>
      <c r="P580" s="182" t="b">
        <f t="shared" ref="P580" si="2323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24">I580-R580</f>
        <v>156456.31</v>
      </c>
      <c r="T580" s="173">
        <v>-30966</v>
      </c>
      <c r="U580" s="173">
        <f t="shared" ref="U580" si="2325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26">O580/W580</f>
        <v>0.17321287746308356</v>
      </c>
      <c r="Y580" s="807">
        <f t="shared" si="1816"/>
        <v>-0.15288089408401662</v>
      </c>
    </row>
    <row r="581" spans="1:25" ht="20.100000000000001" customHeight="1" x14ac:dyDescent="0.25">
      <c r="A581" s="163">
        <f t="shared" ref="A581" si="2327">B581-$B$2</f>
        <v>906</v>
      </c>
      <c r="B581" s="172">
        <v>43139</v>
      </c>
      <c r="C581" s="215">
        <v>2581</v>
      </c>
      <c r="D581" s="171">
        <f t="shared" ref="D581" si="2328">(C581-C580)/C580</f>
        <v>-3.753645130255135E-2</v>
      </c>
      <c r="E581" s="209">
        <f t="shared" ref="E581" si="2329">(C581-$C$2)/$C$2</f>
        <v>0.2276212400829512</v>
      </c>
      <c r="F581" s="219">
        <v>6777.15</v>
      </c>
      <c r="G581" s="171">
        <f t="shared" ref="G581" si="2330">(F581-F580)/F580</f>
        <v>-3.8972033386368073E-2</v>
      </c>
      <c r="H581" s="203">
        <f t="shared" ref="H581" si="2331">(F581-F$2)/F$2</f>
        <v>0.33101910953119779</v>
      </c>
      <c r="I581" s="221">
        <v>437852.33</v>
      </c>
      <c r="J581" s="173">
        <v>400000</v>
      </c>
      <c r="K581" s="173">
        <f t="shared" ref="K581" si="2332">I581-I580-J581+J580</f>
        <v>-11194.889999999956</v>
      </c>
      <c r="L581" s="171">
        <f t="shared" ref="L581" si="2333">K581/I580</f>
        <v>-2.4930318018670634E-2</v>
      </c>
      <c r="M581" s="182">
        <f t="shared" ref="M581" si="2334">I581-J581</f>
        <v>37852.330000000016</v>
      </c>
      <c r="N581" s="184">
        <f t="shared" ref="N581" si="2335">M581/J581</f>
        <v>9.4630825000000043E-2</v>
      </c>
      <c r="O581" s="183">
        <f t="shared" ref="O581" si="2336">N581/(A581/365.25)</f>
        <v>3.8150009747516575E-2</v>
      </c>
      <c r="P581" s="182" t="b">
        <f t="shared" ref="P581" si="2337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38">I581-R581</f>
        <v>140541.12</v>
      </c>
      <c r="T581" s="173">
        <v>-31340</v>
      </c>
      <c r="U581" s="173">
        <f t="shared" ref="U581" si="2339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40">O581/W581</f>
        <v>0.13341410269255552</v>
      </c>
      <c r="Y581" s="807">
        <f t="shared" si="1816"/>
        <v>-0.13299041508295117</v>
      </c>
    </row>
    <row r="582" spans="1:25" ht="20.100000000000001" customHeight="1" x14ac:dyDescent="0.25">
      <c r="A582" s="163">
        <f t="shared" ref="A582" si="2341">B582-$B$2</f>
        <v>907</v>
      </c>
      <c r="B582" s="172">
        <v>43140</v>
      </c>
      <c r="C582" s="215">
        <v>2619.5500000000002</v>
      </c>
      <c r="D582" s="171">
        <f t="shared" ref="D582" si="2342">(C582-C581)/C581</f>
        <v>1.4936071290197668E-2</v>
      </c>
      <c r="E582" s="209">
        <f t="shared" ref="E582" si="2343">(C582-$C$2)/$C$2</f>
        <v>0.24595707844219103</v>
      </c>
      <c r="F582" s="219">
        <v>6874.49</v>
      </c>
      <c r="G582" s="171">
        <f t="shared" ref="G582" si="2344">(F582-F581)/F581</f>
        <v>1.4362969684897066E-2</v>
      </c>
      <c r="H582" s="203">
        <f t="shared" ref="H582" si="2345">(F582-F$2)/F$2</f>
        <v>0.35013649665141311</v>
      </c>
      <c r="I582" s="221">
        <v>439997.44</v>
      </c>
      <c r="J582" s="173">
        <v>400000</v>
      </c>
      <c r="K582" s="173">
        <f t="shared" ref="K582" si="2346">I582-I581-J582+J581</f>
        <v>2145.109999999986</v>
      </c>
      <c r="L582" s="171">
        <f t="shared" ref="L582" si="2347">K582/I581</f>
        <v>4.8991631493658736E-3</v>
      </c>
      <c r="M582" s="182">
        <f t="shared" ref="M582" si="2348">I582-J582</f>
        <v>39997.440000000002</v>
      </c>
      <c r="N582" s="184">
        <f t="shared" ref="N582" si="2349">M582/J582</f>
        <v>9.9993600000000002E-2</v>
      </c>
      <c r="O582" s="183">
        <f t="shared" ref="O582" si="2350">N582/(A582/365.25)</f>
        <v>4.0267543991179718E-2</v>
      </c>
      <c r="P582" s="182" t="b">
        <f t="shared" ref="P582" si="2351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52">I582-R582</f>
        <v>140253.03999999998</v>
      </c>
      <c r="T582" s="173">
        <v>-31484</v>
      </c>
      <c r="U582" s="173">
        <f t="shared" ref="U582" si="2353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54">O582/W582</f>
        <v>0.14093391413707773</v>
      </c>
      <c r="Y582" s="807">
        <f t="shared" si="1816"/>
        <v>-0.14596347844219104</v>
      </c>
    </row>
    <row r="583" spans="1:25" ht="20.100000000000001" customHeight="1" x14ac:dyDescent="0.25">
      <c r="A583" s="163">
        <f t="shared" ref="A583" si="2355">B583-$B$2</f>
        <v>910</v>
      </c>
      <c r="B583" s="172">
        <v>43143</v>
      </c>
      <c r="C583" s="215">
        <v>2656</v>
      </c>
      <c r="D583" s="171">
        <f t="shared" ref="D583" si="2356">(C583-C582)/C582</f>
        <v>1.3914603653299161E-2</v>
      </c>
      <c r="E583" s="209">
        <f t="shared" ref="E583" si="2357">(C583-$C$2)/$C$2</f>
        <v>0.26329407735773669</v>
      </c>
      <c r="F583" s="219">
        <v>6981.96</v>
      </c>
      <c r="G583" s="171">
        <f t="shared" ref="G583" si="2358">(F583-F582)/F582</f>
        <v>1.5633159696210229E-2</v>
      </c>
      <c r="H583" s="203">
        <f t="shared" ref="H583" si="2359">(F583-F$2)/F$2</f>
        <v>0.37124339611524643</v>
      </c>
      <c r="I583" s="221">
        <v>444241.95</v>
      </c>
      <c r="J583" s="173">
        <v>400000</v>
      </c>
      <c r="K583" s="173">
        <f t="shared" ref="K583" si="2360">I583-I582-J583+J582</f>
        <v>4244.5100000000093</v>
      </c>
      <c r="L583" s="171">
        <f t="shared" ref="L583" si="2361">K583/I582</f>
        <v>9.6466697624422761E-3</v>
      </c>
      <c r="M583" s="182">
        <f t="shared" ref="M583" si="2362">I583-J583</f>
        <v>44241.950000000012</v>
      </c>
      <c r="N583" s="184">
        <f t="shared" ref="N583" si="2363">M583/J583</f>
        <v>0.11060487500000003</v>
      </c>
      <c r="O583" s="183">
        <f t="shared" ref="O583" si="2364">N583/(A583/365.25)</f>
        <v>4.4393879773351658E-2</v>
      </c>
      <c r="P583" s="182" t="b">
        <f t="shared" ref="P583" si="2365">L583&gt;D583</f>
        <v>0</v>
      </c>
      <c r="Q583" s="184">
        <f>COUNTIF(P$2:P583, TRUE)/(COUNTIF(P$2:P583,FALSE) + COUNTIF(P$2:P583, TRUE))</f>
        <v>0.4845360824742268</v>
      </c>
      <c r="R583" s="173">
        <v>304740.26</v>
      </c>
      <c r="S583" s="173">
        <f t="shared" ref="S583" si="2366">I583-R583</f>
        <v>139501.69</v>
      </c>
      <c r="T583" s="173">
        <v>-31937</v>
      </c>
      <c r="U583" s="173">
        <f t="shared" ref="U583" si="2367">M583-T583</f>
        <v>76178.950000000012</v>
      </c>
      <c r="V583" s="184">
        <f>STDEV(D$2:D583)*SQRT(252)</f>
        <v>0.13956515808931669</v>
      </c>
      <c r="W583" s="184">
        <f>STDEV(L$2:L583)*SQRT(252)</f>
        <v>0.28553596486340588</v>
      </c>
      <c r="X583" s="174">
        <f t="shared" ref="X583" si="2368">O583/W583</f>
        <v>0.15547561511065239</v>
      </c>
      <c r="Y583" s="807">
        <f t="shared" si="1816"/>
        <v>-0.15268920235773664</v>
      </c>
    </row>
    <row r="584" spans="1:25" ht="20.100000000000001" customHeight="1" x14ac:dyDescent="0.25">
      <c r="A584" s="163">
        <f t="shared" ref="A584" si="2369">B584-$B$2</f>
        <v>911</v>
      </c>
      <c r="B584" s="172">
        <v>43144</v>
      </c>
      <c r="C584" s="215">
        <v>2662.94</v>
      </c>
      <c r="D584" s="171">
        <f t="shared" ref="D584" si="2370">(C584-C583)/C583</f>
        <v>2.6129518072289361E-3</v>
      </c>
      <c r="E584" s="209">
        <f t="shared" ref="E584" si="2371">(C584-$C$2)/$C$2</f>
        <v>0.26659500390023022</v>
      </c>
      <c r="F584" s="219">
        <v>7013.51</v>
      </c>
      <c r="G584" s="171">
        <f t="shared" ref="G584" si="2372">(F584-F583)/F583</f>
        <v>4.518788420443569E-3</v>
      </c>
      <c r="H584" s="203">
        <f t="shared" ref="H584" si="2373">(F584-F$2)/F$2</f>
        <v>0.37743975489522175</v>
      </c>
      <c r="I584" s="221">
        <v>443416.54</v>
      </c>
      <c r="J584" s="173">
        <v>400000</v>
      </c>
      <c r="K584" s="173">
        <f t="shared" ref="K584" si="2374">I584-I583-J584+J583</f>
        <v>-825.4100000000326</v>
      </c>
      <c r="L584" s="171">
        <f t="shared" ref="L584" si="2375">K584/I583</f>
        <v>-1.858019036698431E-3</v>
      </c>
      <c r="M584" s="182">
        <f t="shared" ref="M584" si="2376">I584-J584</f>
        <v>43416.539999999979</v>
      </c>
      <c r="N584" s="184">
        <f t="shared" ref="N584" si="2377">M584/J584</f>
        <v>0.10854134999999995</v>
      </c>
      <c r="O584" s="183">
        <f t="shared" ref="O584" si="2378">N584/(A584/365.25)</f>
        <v>4.3517813487925334E-2</v>
      </c>
      <c r="P584" s="182" t="b">
        <f t="shared" ref="P584" si="2379">L584&gt;D584</f>
        <v>0</v>
      </c>
      <c r="Q584" s="184">
        <f>COUNTIF(P$2:P584, TRUE)/(COUNTIF(P$2:P584,FALSE) + COUNTIF(P$2:P584, TRUE))</f>
        <v>0.483704974271012</v>
      </c>
      <c r="R584" s="173">
        <v>303914.84999999998</v>
      </c>
      <c r="S584" s="173">
        <f t="shared" ref="S584" si="2380">I584-R584</f>
        <v>139501.69</v>
      </c>
      <c r="T584" s="173">
        <v>-31767</v>
      </c>
      <c r="U584" s="173">
        <f t="shared" ref="U584" si="2381">M584-T584</f>
        <v>75183.539999999979</v>
      </c>
      <c r="V584" s="184">
        <f>STDEV(D$2:D584)*SQRT(252)</f>
        <v>0.13945232278826475</v>
      </c>
      <c r="W584" s="184">
        <f>STDEV(L$2:L584)*SQRT(252)</f>
        <v>0.28529453793858889</v>
      </c>
      <c r="X584" s="174">
        <f t="shared" ref="X584" si="2382">O584/W584</f>
        <v>0.15253644111929254</v>
      </c>
      <c r="Y584" s="807">
        <f t="shared" ref="Y584" si="2383">-(E584-N584)</f>
        <v>-0.15805365390023027</v>
      </c>
    </row>
    <row r="585" spans="1:25" ht="20.100000000000001" customHeight="1" x14ac:dyDescent="0.25">
      <c r="A585" s="163">
        <f t="shared" ref="A585" si="2384">B585-$B$2</f>
        <v>912</v>
      </c>
      <c r="B585" s="172">
        <v>43145</v>
      </c>
      <c r="C585" s="215">
        <v>2698.63</v>
      </c>
      <c r="D585" s="171">
        <f t="shared" ref="D585" si="2385">(C585-C584)/C584</f>
        <v>1.3402479965752159E-2</v>
      </c>
      <c r="E585" s="209">
        <f t="shared" ref="E585" si="2386">(C585-$C$2)/$C$2</f>
        <v>0.28357051806472483</v>
      </c>
      <c r="F585" s="219">
        <v>7143.61</v>
      </c>
      <c r="G585" s="171">
        <f t="shared" ref="G585" si="2387">(F585-F584)/F584</f>
        <v>1.854991295371354E-2</v>
      </c>
      <c r="H585" s="203">
        <f t="shared" ref="H585" si="2388">(F585-F$2)/F$2</f>
        <v>0.40299114244751261</v>
      </c>
      <c r="I585" s="221">
        <v>451561.53</v>
      </c>
      <c r="J585" s="173">
        <v>400000</v>
      </c>
      <c r="K585" s="173">
        <f t="shared" ref="K585" si="2389">I585-I584-J585+J584</f>
        <v>8144.9900000000489</v>
      </c>
      <c r="L585" s="171">
        <f t="shared" ref="L585" si="2390">K585/I584</f>
        <v>1.8368710377831304E-2</v>
      </c>
      <c r="M585" s="182">
        <f t="shared" ref="M585" si="2391">I585-J585</f>
        <v>51561.530000000028</v>
      </c>
      <c r="N585" s="184">
        <f t="shared" ref="N585" si="2392">M585/J585</f>
        <v>0.12890382500000008</v>
      </c>
      <c r="O585" s="183">
        <f t="shared" ref="O585" si="2393">N585/(A585/365.25)</f>
        <v>5.1625133861019766E-2</v>
      </c>
      <c r="P585" s="182" t="b">
        <f t="shared" ref="P585" si="2394">L585&gt;D585</f>
        <v>1</v>
      </c>
      <c r="Q585" s="184">
        <f>COUNTIF(P$2:P585, TRUE)/(COUNTIF(P$2:P585,FALSE) + COUNTIF(P$2:P585, TRUE))</f>
        <v>0.4845890410958904</v>
      </c>
      <c r="R585" s="173">
        <v>309463.90999999997</v>
      </c>
      <c r="S585" s="173">
        <f t="shared" ref="S585" si="2395">I585-R585</f>
        <v>142097.62000000005</v>
      </c>
      <c r="T585" s="173">
        <v>-31599</v>
      </c>
      <c r="U585" s="173">
        <f t="shared" ref="U585" si="2396">M585-T585</f>
        <v>83160.530000000028</v>
      </c>
      <c r="V585" s="184">
        <f>STDEV(D$2:D585)*SQRT(252)</f>
        <v>0.13959266682591912</v>
      </c>
      <c r="W585" s="184">
        <f>STDEV(L$2:L585)*SQRT(252)</f>
        <v>0.28529002745867649</v>
      </c>
      <c r="X585" s="174">
        <f t="shared" ref="X585" si="2397">O585/W585</f>
        <v>0.18095667178025537</v>
      </c>
      <c r="Y585" s="807">
        <f t="shared" ref="Y585" si="2398">-(E585-N585)</f>
        <v>-0.15466669306472475</v>
      </c>
    </row>
    <row r="586" spans="1:25" ht="20.100000000000001" customHeight="1" x14ac:dyDescent="0.25">
      <c r="A586" s="163">
        <f t="shared" ref="A586" si="2399">B586-$B$2</f>
        <v>913</v>
      </c>
      <c r="B586" s="172">
        <v>43146</v>
      </c>
      <c r="C586" s="215">
        <v>2731.2</v>
      </c>
      <c r="D586" s="171">
        <f t="shared" ref="D586" si="2400">(C586-C585)/C585</f>
        <v>1.206908690706014E-2</v>
      </c>
      <c r="E586" s="209">
        <f t="shared" ref="E586" si="2401">(C586-$C$2)/$C$2</f>
        <v>0.29906204219858817</v>
      </c>
      <c r="F586" s="219">
        <v>7256.43</v>
      </c>
      <c r="G586" s="171">
        <f t="shared" ref="G586" si="2402">(F586-F585)/F585</f>
        <v>1.5793135403528554E-2</v>
      </c>
      <c r="H586" s="203">
        <f t="shared" ref="H586" si="2403">(F586-F$2)/F$2</f>
        <v>0.42514877153013741</v>
      </c>
      <c r="I586" s="221">
        <v>450705.94</v>
      </c>
      <c r="J586" s="173">
        <v>400000</v>
      </c>
      <c r="K586" s="173">
        <f t="shared" ref="K586" si="2404">I586-I585-J586+J585</f>
        <v>-855.59000000002561</v>
      </c>
      <c r="L586" s="171">
        <f t="shared" ref="L586" si="2405">K586/I585</f>
        <v>-1.8947362500078904E-3</v>
      </c>
      <c r="M586" s="182">
        <f t="shared" ref="M586" si="2406">I586-J586</f>
        <v>50705.94</v>
      </c>
      <c r="N586" s="184">
        <f t="shared" ref="N586" si="2407">M586/J586</f>
        <v>0.12676485000000001</v>
      </c>
      <c r="O586" s="183">
        <f t="shared" ref="O586" si="2408">N586/(A586/365.25)</f>
        <v>5.071288221522454E-2</v>
      </c>
      <c r="P586" s="182" t="b">
        <f t="shared" ref="P586" si="2409">L586&gt;D586</f>
        <v>0</v>
      </c>
      <c r="Q586" s="184">
        <f>COUNTIF(P$2:P586, TRUE)/(COUNTIF(P$2:P586,FALSE) + COUNTIF(P$2:P586, TRUE))</f>
        <v>0.48376068376068376</v>
      </c>
      <c r="R586" s="173">
        <v>308168.68</v>
      </c>
      <c r="S586" s="173">
        <f t="shared" ref="S586" si="2410">I586-R586</f>
        <v>142537.26</v>
      </c>
      <c r="T586" s="173">
        <v>-31476</v>
      </c>
      <c r="U586" s="173">
        <f t="shared" ref="U586" si="2411">M586-T586</f>
        <v>82181.94</v>
      </c>
      <c r="V586" s="184">
        <f>STDEV(D$2:D586)*SQRT(252)</f>
        <v>0.13968097297667137</v>
      </c>
      <c r="W586" s="184">
        <f>STDEV(L$2:L586)*SQRT(252)</f>
        <v>0.28504987730153164</v>
      </c>
      <c r="X586" s="174">
        <f t="shared" ref="X586" si="2412">O586/W586</f>
        <v>0.17790880212019669</v>
      </c>
      <c r="Y586" s="807">
        <f t="shared" ref="Y586" si="2413">-(E586-N586)</f>
        <v>-0.17229719219858816</v>
      </c>
    </row>
    <row r="587" spans="1:25" ht="20.100000000000001" customHeight="1" x14ac:dyDescent="0.25">
      <c r="A587" s="163">
        <f t="shared" ref="A587" si="2414">B587-$B$2</f>
        <v>914</v>
      </c>
      <c r="B587" s="172">
        <v>43147</v>
      </c>
      <c r="C587" s="215">
        <v>2732.22</v>
      </c>
      <c r="D587" s="171">
        <f t="shared" ref="D587" si="2415">(C587-C586)/C586</f>
        <v>3.7346221441124117E-4</v>
      </c>
      <c r="E587" s="209">
        <f t="shared" ref="E587" si="2416">(C587-$C$2)/$C$2</f>
        <v>0.29954719278552527</v>
      </c>
      <c r="F587" s="219">
        <v>7239.46</v>
      </c>
      <c r="G587" s="171">
        <f t="shared" ref="G587" si="2417">(F587-F586)/F586</f>
        <v>-2.3386155451096827E-3</v>
      </c>
      <c r="H587" s="203">
        <f t="shared" ref="H587" si="2418">(F587-F$2)/F$2</f>
        <v>0.42181589645894302</v>
      </c>
      <c r="I587" s="221">
        <v>447551.93</v>
      </c>
      <c r="J587" s="173">
        <v>400000</v>
      </c>
      <c r="K587" s="173">
        <f t="shared" ref="K587" si="2419">I587-I586-J587+J586</f>
        <v>-3154.0100000000093</v>
      </c>
      <c r="L587" s="171">
        <f t="shared" ref="L587" si="2420">K587/I586</f>
        <v>-6.9979330647384173E-3</v>
      </c>
      <c r="M587" s="182">
        <f t="shared" ref="M587" si="2421">I587-J587</f>
        <v>47551.929999999993</v>
      </c>
      <c r="N587" s="184">
        <f t="shared" ref="N587" si="2422">M587/J587</f>
        <v>0.11887982499999998</v>
      </c>
      <c r="O587" s="183">
        <f t="shared" ref="O587" si="2423">N587/(A587/365.25)</f>
        <v>4.7506407091083142E-2</v>
      </c>
      <c r="P587" s="182" t="b">
        <f t="shared" ref="P587" si="2424">L587&gt;D587</f>
        <v>0</v>
      </c>
      <c r="Q587" s="184">
        <f>COUNTIF(P$2:P587, TRUE)/(COUNTIF(P$2:P587,FALSE) + COUNTIF(P$2:P587, TRUE))</f>
        <v>0.48293515358361777</v>
      </c>
      <c r="R587" s="173">
        <v>312866.87</v>
      </c>
      <c r="S587" s="173">
        <f t="shared" ref="S587" si="2425">I587-R587</f>
        <v>134685.06</v>
      </c>
      <c r="T587" s="173">
        <v>-31310</v>
      </c>
      <c r="U587" s="173">
        <f t="shared" ref="U587" si="2426">M587-T587</f>
        <v>78861.929999999993</v>
      </c>
      <c r="V587" s="184">
        <f>STDEV(D$2:D587)*SQRT(252)</f>
        <v>0.13956135167754313</v>
      </c>
      <c r="W587" s="184">
        <f>STDEV(L$2:L587)*SQRT(252)</f>
        <v>0.28484907912566382</v>
      </c>
      <c r="X587" s="174">
        <f t="shared" ref="X587" si="2427">O587/W587</f>
        <v>0.16677746418174394</v>
      </c>
      <c r="Y587" s="807">
        <f t="shared" ref="Y587" si="2428">-(E587-N587)</f>
        <v>-0.18066736778552528</v>
      </c>
    </row>
    <row r="588" spans="1:25" ht="20.100000000000001" customHeight="1" x14ac:dyDescent="0.25">
      <c r="A588" s="163">
        <f t="shared" ref="A588" si="2429">B588-$B$2</f>
        <v>918</v>
      </c>
      <c r="B588" s="172">
        <v>43151</v>
      </c>
      <c r="C588" s="215">
        <v>2716.26</v>
      </c>
      <c r="D588" s="171">
        <f t="shared" ref="D588" si="2430">(C588-C587)/C587</f>
        <v>-5.8414036936994766E-3</v>
      </c>
      <c r="E588" s="209">
        <f t="shared" ref="E588" si="2431">(C588-$C$2)/$C$2</f>
        <v>0.29195601301345109</v>
      </c>
      <c r="F588" s="219">
        <v>7234.3</v>
      </c>
      <c r="G588" s="171">
        <f t="shared" ref="G588" si="2432">(F588-F587)/F587</f>
        <v>-7.1276034400353822E-4</v>
      </c>
      <c r="H588" s="203">
        <f t="shared" ref="H588" si="2433">(F588-F$2)/F$2</f>
        <v>0.42080248247147328</v>
      </c>
      <c r="I588" s="221">
        <v>445228.37</v>
      </c>
      <c r="J588" s="173">
        <v>400000</v>
      </c>
      <c r="K588" s="173">
        <f t="shared" ref="K588" si="2434">I588-I587-J588+J587</f>
        <v>-2323.5599999999977</v>
      </c>
      <c r="L588" s="171">
        <f t="shared" ref="L588" si="2435">K588/I587</f>
        <v>-5.191710378726325E-3</v>
      </c>
      <c r="M588" s="182">
        <f t="shared" ref="M588" si="2436">I588-J588</f>
        <v>45228.369999999995</v>
      </c>
      <c r="N588" s="184">
        <f t="shared" ref="N588" si="2437">M588/J588</f>
        <v>0.11307092499999999</v>
      </c>
      <c r="O588" s="183">
        <f t="shared" ref="O588" si="2438">N588/(A588/365.25)</f>
        <v>4.4988186662581697E-2</v>
      </c>
      <c r="P588" s="182" t="b">
        <f t="shared" ref="P588" si="2439">L588&gt;D588</f>
        <v>1</v>
      </c>
      <c r="Q588" s="184">
        <f>COUNTIF(P$2:P588, TRUE)/(COUNTIF(P$2:P588,FALSE) + COUNTIF(P$2:P588, TRUE))</f>
        <v>0.48381601362862009</v>
      </c>
      <c r="R588" s="173"/>
      <c r="S588" s="173"/>
      <c r="T588" s="173"/>
      <c r="U588" s="173"/>
      <c r="V588" s="184">
        <f>STDEV(D$2:D588)*SQRT(252)</f>
        <v>0.13950374983937611</v>
      </c>
      <c r="W588" s="184">
        <f>STDEV(L$2:L588)*SQRT(252)</f>
        <v>0.28463051579206888</v>
      </c>
      <c r="X588" s="174">
        <f t="shared" ref="X588" si="2440">O588/W588</f>
        <v>0.15805819884557604</v>
      </c>
      <c r="Y588" s="807">
        <f t="shared" ref="Y588" si="2441">-(E588-N588)</f>
        <v>-0.1788850880134511</v>
      </c>
    </row>
    <row r="589" spans="1:25" ht="20.100000000000001" customHeight="1" x14ac:dyDescent="0.25">
      <c r="A589" s="163">
        <f t="shared" ref="A589" si="2442">B589-$B$2</f>
        <v>919</v>
      </c>
      <c r="B589" s="172">
        <v>43152</v>
      </c>
      <c r="C589" s="215">
        <v>2701.33</v>
      </c>
      <c r="D589" s="171">
        <f t="shared" ref="D589" si="2443">(C589-C588)/C588</f>
        <v>-5.496528314668069E-3</v>
      </c>
      <c r="E589" s="209">
        <f t="shared" ref="E589" si="2444">(C589-$C$2)/$C$2</f>
        <v>0.284854740206617</v>
      </c>
      <c r="F589" s="219">
        <v>7218.22</v>
      </c>
      <c r="G589" s="171">
        <f t="shared" ref="G589" si="2445">(F589-F588)/F588</f>
        <v>-2.2227444258601284E-3</v>
      </c>
      <c r="H589" s="203">
        <f t="shared" ref="H589" si="2446">(F589-F$2)/F$2</f>
        <v>0.41764440167331157</v>
      </c>
      <c r="I589" s="221">
        <v>442526.81</v>
      </c>
      <c r="J589" s="173">
        <v>400000</v>
      </c>
      <c r="K589" s="173">
        <f t="shared" ref="K589" si="2447">I589-I588-J589+J588</f>
        <v>-2701.5599999999977</v>
      </c>
      <c r="L589" s="171">
        <f t="shared" ref="L589" si="2448">K589/I588</f>
        <v>-6.0678074040969084E-3</v>
      </c>
      <c r="M589" s="182">
        <f t="shared" ref="M589" si="2449">I589-J589</f>
        <v>42526.81</v>
      </c>
      <c r="N589" s="184">
        <f t="shared" ref="N589" si="2450">M589/J589</f>
        <v>0.106317025</v>
      </c>
      <c r="O589" s="183">
        <f t="shared" ref="O589" si="2451">N589/(A589/365.25)</f>
        <v>4.2254943831610443E-2</v>
      </c>
      <c r="P589" s="182" t="b">
        <f t="shared" ref="P589" si="2452">L589&gt;D589</f>
        <v>0</v>
      </c>
      <c r="Q589" s="184">
        <f>COUNTIF(P$2:P589, TRUE)/(COUNTIF(P$2:P589,FALSE) + COUNTIF(P$2:P589, TRUE))</f>
        <v>0.48299319727891155</v>
      </c>
      <c r="R589" s="173">
        <v>327182.61</v>
      </c>
      <c r="S589" s="173">
        <f t="shared" ref="S589" si="2453">I589-R589</f>
        <v>115344.20000000001</v>
      </c>
      <c r="T589" s="173">
        <v>-31702</v>
      </c>
      <c r="U589" s="173">
        <f t="shared" ref="U589" si="2454">M589-T589</f>
        <v>74228.81</v>
      </c>
      <c r="V589" s="184">
        <f>STDEV(D$2:D589)*SQRT(252)</f>
        <v>0.13943958663784506</v>
      </c>
      <c r="W589" s="184">
        <f>STDEV(L$2:L589)*SQRT(252)</f>
        <v>0.28442061992708212</v>
      </c>
      <c r="X589" s="174">
        <f t="shared" ref="X589" si="2455">O589/W589</f>
        <v>0.14856498042386479</v>
      </c>
      <c r="Y589" s="807">
        <f t="shared" ref="Y589" si="2456">-(E589-N589)</f>
        <v>-0.17853771520661699</v>
      </c>
    </row>
    <row r="590" spans="1:25" ht="20.100000000000001" customHeight="1" x14ac:dyDescent="0.25">
      <c r="A590" s="163">
        <f t="shared" ref="A590" si="2457">B590-$B$2</f>
        <v>920</v>
      </c>
      <c r="B590" s="172">
        <v>43153</v>
      </c>
      <c r="C590" s="215">
        <v>2703.96</v>
      </c>
      <c r="D590" s="171">
        <f t="shared" ref="D590" si="2458">(C590-C589)/C589</f>
        <v>9.735944886408211E-4</v>
      </c>
      <c r="E590" s="209">
        <f t="shared" ref="E590" si="2459">(C590-$C$2)/$C$2</f>
        <v>0.2861056677003862</v>
      </c>
      <c r="F590" s="219">
        <v>7210.08</v>
      </c>
      <c r="G590" s="171">
        <f t="shared" ref="G590" si="2460">(F590-F589)/F589</f>
        <v>-1.1277018433907982E-3</v>
      </c>
      <c r="H590" s="203">
        <f t="shared" ref="H590" si="2461">(F590-F$2)/F$2</f>
        <v>0.41604572146827196</v>
      </c>
      <c r="I590" s="221">
        <v>441168.86</v>
      </c>
      <c r="J590" s="173">
        <v>400000</v>
      </c>
      <c r="K590" s="173">
        <f t="shared" ref="K590" si="2462">I590-I589-J590+J589</f>
        <v>-1357.9500000000116</v>
      </c>
      <c r="L590" s="171">
        <f t="shared" ref="L590" si="2463">K590/I589</f>
        <v>-3.0686276386282939E-3</v>
      </c>
      <c r="M590" s="182">
        <f t="shared" ref="M590" si="2464">I590-J590</f>
        <v>41168.859999999986</v>
      </c>
      <c r="N590" s="184">
        <f t="shared" ref="N590" si="2465">M590/J590</f>
        <v>0.10292214999999996</v>
      </c>
      <c r="O590" s="183">
        <f t="shared" ref="O590" si="2466">N590/(A590/365.25)</f>
        <v>4.0861212269021729E-2</v>
      </c>
      <c r="P590" s="182" t="b">
        <f t="shared" ref="P590" si="2467">L590&gt;D590</f>
        <v>0</v>
      </c>
      <c r="Q590" s="184">
        <f>COUNTIF(P$2:P590, TRUE)/(COUNTIF(P$2:P590,FALSE) + COUNTIF(P$2:P590, TRUE))</f>
        <v>0.48217317487266553</v>
      </c>
      <c r="R590" s="173">
        <v>325824.65000000002</v>
      </c>
      <c r="S590" s="173">
        <f t="shared" ref="S590" si="2468">I590-R590</f>
        <v>115344.20999999996</v>
      </c>
      <c r="T590" s="173">
        <v>-31901</v>
      </c>
      <c r="U590" s="173">
        <f t="shared" ref="U590" si="2469">M590-T590</f>
        <v>73069.859999999986</v>
      </c>
      <c r="V590" s="184">
        <f>STDEV(D$2:D590)*SQRT(252)</f>
        <v>0.13932115984802981</v>
      </c>
      <c r="W590" s="184">
        <f>STDEV(L$2:L590)*SQRT(252)</f>
        <v>0.2841880695419704</v>
      </c>
      <c r="X590" s="174">
        <f t="shared" ref="X590" si="2470">O590/W590</f>
        <v>0.14378229295437445</v>
      </c>
      <c r="Y590" s="807">
        <f t="shared" ref="Y590" si="2471">-(E590-N590)</f>
        <v>-0.18318351770038624</v>
      </c>
    </row>
    <row r="591" spans="1:25" ht="20.100000000000001" customHeight="1" x14ac:dyDescent="0.25">
      <c r="A591" s="163">
        <f t="shared" ref="A591" si="2472">B591-$B$2</f>
        <v>921</v>
      </c>
      <c r="B591" s="172">
        <v>43154</v>
      </c>
      <c r="C591" s="215">
        <v>2747.3</v>
      </c>
      <c r="D591" s="171">
        <f t="shared" ref="D591" si="2473">(C591-C590)/C590</f>
        <v>1.6028343614550564E-2</v>
      </c>
      <c r="E591" s="209">
        <f t="shared" ref="E591" si="2474">(C591-$C$2)/$C$2</f>
        <v>0.306719811266909</v>
      </c>
      <c r="F591" s="219">
        <v>7337.39</v>
      </c>
      <c r="G591" s="171">
        <f t="shared" ref="G591" si="2475">(F591-F590)/F590</f>
        <v>1.7657224330381964E-2</v>
      </c>
      <c r="H591" s="203">
        <f t="shared" ref="H591" si="2476">(F591-F$2)/F$2</f>
        <v>0.4410491584343148</v>
      </c>
      <c r="I591" s="221">
        <v>446261.7</v>
      </c>
      <c r="J591" s="173">
        <v>400000</v>
      </c>
      <c r="K591" s="173">
        <f t="shared" ref="K591" si="2477">I591-I590-J591+J590</f>
        <v>5092.8400000000256</v>
      </c>
      <c r="L591" s="171">
        <f t="shared" ref="L591" si="2478">K591/I590</f>
        <v>1.154396980784189E-2</v>
      </c>
      <c r="M591" s="182">
        <f t="shared" ref="M591" si="2479">I591-J591</f>
        <v>46261.700000000012</v>
      </c>
      <c r="N591" s="184">
        <f t="shared" ref="N591" si="2480">M591/J591</f>
        <v>0.11565425000000003</v>
      </c>
      <c r="O591" s="183">
        <f t="shared" ref="O591" si="2481">N591/(A591/365.25)</f>
        <v>4.5866139861563529E-2</v>
      </c>
      <c r="P591" s="182" t="b">
        <f t="shared" ref="P591" si="2482">L591&gt;D591</f>
        <v>0</v>
      </c>
      <c r="Q591" s="184">
        <f>COUNTIF(P$2:P591, TRUE)/(COUNTIF(P$2:P591,FALSE) + COUNTIF(P$2:P591, TRUE))</f>
        <v>0.48135593220338985</v>
      </c>
      <c r="R591" s="173">
        <v>328333.55</v>
      </c>
      <c r="S591" s="173">
        <f t="shared" ref="S591" si="2483">I591-R591</f>
        <v>117928.15000000002</v>
      </c>
      <c r="T591" s="173">
        <v>-31711</v>
      </c>
      <c r="U591" s="173">
        <f t="shared" ref="U591" si="2484">M591-T591</f>
        <v>77972.700000000012</v>
      </c>
      <c r="V591" s="184">
        <f>STDEV(D$2:D591)*SQRT(252)</f>
        <v>0.13957430470539237</v>
      </c>
      <c r="W591" s="184">
        <f>STDEV(L$2:L591)*SQRT(252)</f>
        <v>0.28403762341097771</v>
      </c>
      <c r="X591" s="174">
        <f t="shared" ref="X591" si="2485">O591/W591</f>
        <v>0.16147910023595438</v>
      </c>
      <c r="Y591" s="807">
        <f t="shared" ref="Y591" si="2486">-(E591-N591)</f>
        <v>-0.19106556126690899</v>
      </c>
    </row>
    <row r="592" spans="1:25" ht="20.100000000000001" customHeight="1" x14ac:dyDescent="0.25">
      <c r="A592" s="163">
        <f t="shared" ref="A592" si="2487">B592-$B$2</f>
        <v>924</v>
      </c>
      <c r="B592" s="172">
        <v>43157</v>
      </c>
      <c r="C592" s="215">
        <v>2779.6</v>
      </c>
      <c r="D592" s="171">
        <f t="shared" ref="D592" si="2488">(C592-C591)/C591</f>
        <v>1.175699777963809E-2</v>
      </c>
      <c r="E592" s="209">
        <f t="shared" ref="E592" si="2489">(C592-$C$2)/$C$2</f>
        <v>0.32208291318658311</v>
      </c>
      <c r="F592" s="219">
        <v>7421.46</v>
      </c>
      <c r="G592" s="171">
        <f t="shared" ref="G592" si="2490">(F592-F591)/F591</f>
        <v>1.1457752688626296E-2</v>
      </c>
      <c r="H592" s="203">
        <f t="shared" ref="H592" si="2491">(F592-F$2)/F$2</f>
        <v>0.45756034330380824</v>
      </c>
      <c r="I592" s="221">
        <v>445461.4</v>
      </c>
      <c r="J592" s="173">
        <v>400000</v>
      </c>
      <c r="K592" s="173">
        <f t="shared" ref="K592" si="2492">I592-I591-J592+J591</f>
        <v>-800.29999999998836</v>
      </c>
      <c r="L592" s="171">
        <f t="shared" ref="L592" si="2493">K592/I591</f>
        <v>-1.7933423370188129E-3</v>
      </c>
      <c r="M592" s="182">
        <f t="shared" ref="M592" si="2494">I592-J592</f>
        <v>45461.400000000023</v>
      </c>
      <c r="N592" s="184">
        <f t="shared" ref="N592" si="2495">M592/J592</f>
        <v>0.11365350000000006</v>
      </c>
      <c r="O592" s="183">
        <f t="shared" ref="O592" si="2496">N592/(A592/365.25)</f>
        <v>4.4926342938311707E-2</v>
      </c>
      <c r="P592" s="182" t="b">
        <f t="shared" ref="P592" si="2497">L592&gt;D592</f>
        <v>0</v>
      </c>
      <c r="Q592" s="184">
        <f>COUNTIF(P$2:P592, TRUE)/(COUNTIF(P$2:P592,FALSE) + COUNTIF(P$2:P592, TRUE))</f>
        <v>0.48054145516074448</v>
      </c>
      <c r="R592" s="173">
        <v>330526.96000000002</v>
      </c>
      <c r="S592" s="173">
        <f t="shared" ref="S592" si="2498">I592-R592</f>
        <v>114934.44</v>
      </c>
      <c r="T592" s="173">
        <v>-31425</v>
      </c>
      <c r="U592" s="173">
        <f t="shared" ref="U592" si="2499">M592-T592</f>
        <v>76886.400000000023</v>
      </c>
      <c r="V592" s="184">
        <f>STDEV(D$2:D592)*SQRT(252)</f>
        <v>0.13964993647213261</v>
      </c>
      <c r="W592" s="184">
        <f>STDEV(L$2:L592)*SQRT(252)</f>
        <v>0.28380054359843188</v>
      </c>
      <c r="X592" s="174">
        <f t="shared" ref="X592" si="2500">O592/W592</f>
        <v>0.15830252602292741</v>
      </c>
      <c r="Y592" s="807">
        <f t="shared" ref="Y592" si="2501">-(E592-N592)</f>
        <v>-0.20842941318658303</v>
      </c>
    </row>
    <row r="593" spans="1:25" ht="20.100000000000001" customHeight="1" x14ac:dyDescent="0.25">
      <c r="A593" s="163">
        <f t="shared" ref="A593" si="2502">B593-$B$2</f>
        <v>925</v>
      </c>
      <c r="B593" s="172">
        <v>43158</v>
      </c>
      <c r="C593" s="215">
        <v>2744.28</v>
      </c>
      <c r="D593" s="171">
        <f t="shared" ref="D593" si="2503">(C593-C592)/C592</f>
        <v>-1.270686429702105E-2</v>
      </c>
      <c r="E593" s="209">
        <f t="shared" ref="E593" si="2504">(C593-$C$2)/$C$2</f>
        <v>0.30528338501931096</v>
      </c>
      <c r="F593" s="219">
        <v>7330.35</v>
      </c>
      <c r="G593" s="171">
        <f t="shared" ref="G593" si="2505">(F593-F592)/F592</f>
        <v>-1.2276560137762606E-2</v>
      </c>
      <c r="H593" s="203">
        <f t="shared" ref="H593" si="2506">(F593-F$2)/F$2</f>
        <v>0.4396665160948211</v>
      </c>
      <c r="I593" s="221">
        <v>439475.96</v>
      </c>
      <c r="J593" s="173">
        <v>400000</v>
      </c>
      <c r="K593" s="173">
        <f t="shared" ref="K593" si="2507">I593-I592-J593+J592</f>
        <v>-5985.4400000000023</v>
      </c>
      <c r="L593" s="171">
        <f t="shared" ref="L593" si="2508">K593/I592</f>
        <v>-1.3436495283317482E-2</v>
      </c>
      <c r="M593" s="182">
        <f t="shared" ref="M593" si="2509">I593-J593</f>
        <v>39475.960000000021</v>
      </c>
      <c r="N593" s="184">
        <f t="shared" ref="N593" si="2510">M593/J593</f>
        <v>9.8689900000000053E-2</v>
      </c>
      <c r="O593" s="183">
        <f t="shared" ref="O593" si="2511">N593/(A593/365.25)</f>
        <v>3.8969174027027043E-2</v>
      </c>
      <c r="P593" s="182" t="b">
        <f t="shared" ref="P593" si="2512">L593&gt;D593</f>
        <v>0</v>
      </c>
      <c r="Q593" s="184">
        <f>COUNTIF(P$2:P593, TRUE)/(COUNTIF(P$2:P593,FALSE) + COUNTIF(P$2:P593, TRUE))</f>
        <v>0.47972972972972971</v>
      </c>
      <c r="R593" s="173">
        <v>324541.51</v>
      </c>
      <c r="S593" s="173">
        <f t="shared" ref="S593" si="2513">I593-R593</f>
        <v>114934.45000000001</v>
      </c>
      <c r="T593" s="173">
        <v>-31811</v>
      </c>
      <c r="U593" s="173">
        <f t="shared" ref="U593" si="2514">M593-T593</f>
        <v>71286.960000000021</v>
      </c>
      <c r="V593" s="184">
        <f>STDEV(D$2:D593)*SQRT(252)</f>
        <v>0.139798275476226</v>
      </c>
      <c r="W593" s="184">
        <f>STDEV(L$2:L593)*SQRT(252)</f>
        <v>0.28370694512028866</v>
      </c>
      <c r="X593" s="174">
        <f t="shared" ref="X593" si="2515">O593/W593</f>
        <v>0.13735713805139502</v>
      </c>
      <c r="Y593" s="807">
        <f t="shared" ref="Y593" si="2516">-(E593-N593)</f>
        <v>-0.20659348501931091</v>
      </c>
    </row>
    <row r="594" spans="1:25" ht="20.100000000000001" customHeight="1" x14ac:dyDescent="0.25">
      <c r="A594" s="163">
        <f t="shared" ref="A594" si="2517">B594-$B$2</f>
        <v>926</v>
      </c>
      <c r="B594" s="172">
        <v>43159</v>
      </c>
      <c r="C594" s="215">
        <v>2713.83</v>
      </c>
      <c r="D594" s="171">
        <f t="shared" ref="D594" si="2518">(C594-C593)/C593</f>
        <v>-1.1095806550352104E-2</v>
      </c>
      <c r="E594" s="209">
        <f t="shared" ref="E594" si="2519">(C594-$C$2)/$C$2</f>
        <v>0.29080021308574794</v>
      </c>
      <c r="F594" s="219">
        <v>7273</v>
      </c>
      <c r="G594" s="171">
        <f t="shared" ref="G594" si="2520">(F594-F593)/F593</f>
        <v>-7.8236373433738307E-3</v>
      </c>
      <c r="H594" s="203">
        <f t="shared" ref="H594" si="2521">(F594-F$2)/F$2</f>
        <v>0.42840308737749677</v>
      </c>
      <c r="I594" s="221">
        <v>434359.8</v>
      </c>
      <c r="J594" s="173">
        <v>400000</v>
      </c>
      <c r="K594" s="173">
        <f t="shared" ref="K594" si="2522">I594-I593-J594+J593</f>
        <v>-5116.1600000000326</v>
      </c>
      <c r="L594" s="171">
        <f t="shared" ref="L594" si="2523">K594/I593</f>
        <v>-1.1641501391794064E-2</v>
      </c>
      <c r="M594" s="182">
        <f t="shared" ref="M594" si="2524">I594-J594</f>
        <v>34359.799999999988</v>
      </c>
      <c r="N594" s="184">
        <f t="shared" ref="N594" si="2525">M594/J594</f>
        <v>8.5899499999999976E-2</v>
      </c>
      <c r="O594" s="183">
        <f t="shared" ref="O594" si="2526">N594/(A594/365.25)</f>
        <v>3.3882065199784005E-2</v>
      </c>
      <c r="P594" s="182" t="b">
        <f t="shared" ref="P594" si="2527">L594&gt;D594</f>
        <v>0</v>
      </c>
      <c r="Q594" s="184">
        <f>COUNTIF(P$2:P594, TRUE)/(COUNTIF(P$2:P594,FALSE) + COUNTIF(P$2:P594, TRUE))</f>
        <v>0.47892074198988194</v>
      </c>
      <c r="R594" s="173">
        <v>325325.34999999998</v>
      </c>
      <c r="S594" s="173">
        <f t="shared" ref="S594" si="2528">I594-R594</f>
        <v>109034.45000000001</v>
      </c>
      <c r="T594" s="173"/>
      <c r="U594" s="173">
        <f t="shared" ref="U594" si="2529">M594-T594</f>
        <v>34359.799999999988</v>
      </c>
      <c r="V594" s="184">
        <f>STDEV(D$2:D594)*SQRT(252)</f>
        <v>0.13988432434963807</v>
      </c>
      <c r="W594" s="184">
        <f>STDEV(L$2:L594)*SQRT(252)</f>
        <v>0.28357793902623352</v>
      </c>
      <c r="X594" s="174">
        <f t="shared" ref="X594" si="2530">O594/W594</f>
        <v>0.11948061021999884</v>
      </c>
      <c r="Y594" s="807">
        <f t="shared" ref="Y594" si="2531">-(E594-N594)</f>
        <v>-0.20490071308574798</v>
      </c>
    </row>
  </sheetData>
  <conditionalFormatting sqref="D3:D594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94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94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94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95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288.99</v>
      </c>
      <c r="V3" s="1"/>
      <c r="Z3" s="229"/>
      <c r="AC3" s="229"/>
    </row>
    <row r="4" spans="1:29" x14ac:dyDescent="0.25">
      <c r="G4" s="72"/>
      <c r="H4" s="180"/>
      <c r="I4" s="3"/>
      <c r="J4" s="3"/>
      <c r="K4" s="3"/>
      <c r="L4" s="4"/>
      <c r="O4" s="11" t="s">
        <v>66</v>
      </c>
      <c r="Q4" s="54">
        <v>288.99</v>
      </c>
      <c r="R4" s="503">
        <v>-3.8E-3</v>
      </c>
      <c r="T4" s="1"/>
      <c r="Z4" s="229"/>
      <c r="AC4" s="229"/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Z5" s="229"/>
      <c r="AC5" s="229"/>
    </row>
    <row r="6" spans="1:29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Z6" s="229"/>
      <c r="AC6" s="229"/>
    </row>
    <row r="7" spans="1:29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9"/>
      <c r="AC7" s="229"/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9"/>
      <c r="AC8" s="229"/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4" x14ac:dyDescent="0.25">
      <c r="B21" s="188"/>
      <c r="C21" s="10"/>
      <c r="D21" s="39"/>
      <c r="E21" s="39"/>
      <c r="F21" s="39"/>
      <c r="G21" s="39"/>
      <c r="H21" s="226"/>
      <c r="I21" s="226"/>
    </row>
    <row r="22" spans="1:14" x14ac:dyDescent="0.25">
      <c r="B22" s="188"/>
      <c r="C22" s="10"/>
      <c r="D22" s="39"/>
      <c r="E22" s="39"/>
      <c r="F22" s="39"/>
      <c r="G22" s="39"/>
      <c r="H22" s="226"/>
      <c r="I22" s="226"/>
    </row>
    <row r="23" spans="1:14" x14ac:dyDescent="0.25">
      <c r="B23" s="188"/>
      <c r="C23" s="10"/>
      <c r="D23" s="39"/>
      <c r="E23" s="39"/>
      <c r="F23" s="39"/>
      <c r="G23" s="39"/>
      <c r="H23" s="226"/>
      <c r="I23" s="226"/>
    </row>
    <row r="24" spans="1:14" x14ac:dyDescent="0.25">
      <c r="B24" s="188"/>
      <c r="C24" s="10"/>
      <c r="D24" s="39"/>
      <c r="E24" s="39"/>
      <c r="F24" s="39"/>
      <c r="G24" s="39"/>
      <c r="H24" s="226"/>
      <c r="I24" s="226"/>
    </row>
    <row r="25" spans="1:14" x14ac:dyDescent="0.25">
      <c r="B25" s="188"/>
      <c r="C25" s="10"/>
      <c r="D25" s="39"/>
      <c r="E25" s="39"/>
      <c r="F25" s="39"/>
      <c r="G25" s="39"/>
      <c r="H25" s="227"/>
      <c r="I25" s="227"/>
    </row>
    <row r="26" spans="1:14" x14ac:dyDescent="0.25">
      <c r="B26" s="188"/>
      <c r="C26" s="10"/>
      <c r="D26" s="39"/>
      <c r="E26" s="39"/>
      <c r="F26" s="39"/>
      <c r="G26" s="39"/>
      <c r="H26" s="227"/>
      <c r="I26" s="227"/>
    </row>
    <row r="27" spans="1:14" x14ac:dyDescent="0.25">
      <c r="B27" s="188"/>
      <c r="C27" s="10"/>
      <c r="D27" s="39"/>
      <c r="E27" s="39"/>
      <c r="F27" s="39"/>
      <c r="G27" s="39"/>
      <c r="H27" s="227"/>
      <c r="I27" s="227"/>
    </row>
    <row r="28" spans="1:14" x14ac:dyDescent="0.25">
      <c r="B28" s="188"/>
      <c r="C28" s="10"/>
      <c r="D28" s="39"/>
      <c r="E28" s="39"/>
      <c r="F28" s="39"/>
      <c r="G28" s="39"/>
      <c r="H28" s="227"/>
      <c r="I28" s="227"/>
    </row>
    <row r="29" spans="1:14" x14ac:dyDescent="0.25">
      <c r="B29" s="188"/>
      <c r="C29" s="10"/>
      <c r="D29" s="39"/>
      <c r="E29" s="39"/>
      <c r="F29" s="39"/>
      <c r="G29" s="39"/>
      <c r="H29" s="227"/>
      <c r="I29" s="227"/>
    </row>
    <row r="30" spans="1:14" x14ac:dyDescent="0.25">
      <c r="B30" s="188"/>
      <c r="C30" s="10"/>
      <c r="D30" s="39"/>
      <c r="E30" s="39"/>
      <c r="F30" s="39"/>
      <c r="G30" s="39"/>
      <c r="H30" s="227"/>
      <c r="I30" s="227"/>
    </row>
    <row r="31" spans="1:14" x14ac:dyDescent="0.25">
      <c r="B31" s="188"/>
      <c r="C31" s="10"/>
      <c r="D31" s="39"/>
      <c r="E31" s="39"/>
      <c r="F31" s="39"/>
      <c r="G31" s="39"/>
      <c r="H31" s="227"/>
      <c r="I31" s="227"/>
    </row>
    <row r="32" spans="1:14" x14ac:dyDescent="0.25">
      <c r="B32" s="188"/>
      <c r="C32" s="10"/>
      <c r="D32" s="39"/>
      <c r="E32" s="39"/>
      <c r="F32" s="39"/>
      <c r="G32" s="39"/>
      <c r="H32" s="227"/>
      <c r="I32" s="227"/>
    </row>
    <row r="33" spans="1:21" x14ac:dyDescent="0.25">
      <c r="B33" s="10"/>
      <c r="C33" s="10"/>
      <c r="D33" s="39"/>
      <c r="E33" s="39"/>
      <c r="F33" s="39"/>
      <c r="G33" s="39"/>
      <c r="H33" s="227"/>
      <c r="I33" s="227"/>
    </row>
    <row r="34" spans="1:21" x14ac:dyDescent="0.25">
      <c r="B34" s="10"/>
      <c r="C34" s="10"/>
      <c r="D34" s="39"/>
      <c r="E34" s="39"/>
      <c r="F34" s="39"/>
      <c r="G34" s="39"/>
      <c r="H34" s="227"/>
      <c r="I34" s="227"/>
    </row>
    <row r="35" spans="1:21" x14ac:dyDescent="0.25">
      <c r="B35" s="10"/>
      <c r="C35" s="10"/>
      <c r="D35" s="39"/>
      <c r="E35" s="39"/>
      <c r="F35" s="39"/>
      <c r="G35" s="39"/>
      <c r="H35" s="227"/>
      <c r="I35" s="227"/>
    </row>
    <row r="39" spans="1:2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T39" s="420"/>
    </row>
    <row r="40" spans="1:2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T40" s="420"/>
    </row>
    <row r="41" spans="1:2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1">H41*I41-J41</f>
        <v>1517.97</v>
      </c>
      <c r="L41" s="254" t="s">
        <v>80</v>
      </c>
      <c r="M41" s="254"/>
      <c r="T41" s="420"/>
    </row>
    <row r="42" spans="1:2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1"/>
        <v>1400.97</v>
      </c>
      <c r="L42" s="254"/>
      <c r="M42" s="254"/>
      <c r="O42" s="811" t="s">
        <v>78</v>
      </c>
      <c r="P42" s="811"/>
      <c r="T42" s="420"/>
      <c r="U42" s="4"/>
    </row>
    <row r="43" spans="1:2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1"/>
        <v>2899.95</v>
      </c>
      <c r="L43" s="254"/>
      <c r="M43" s="254"/>
      <c r="O43" s="81">
        <v>1.1000000000000001</v>
      </c>
      <c r="P43" s="81">
        <f>O43*$Q$4</f>
        <v>317.88900000000001</v>
      </c>
      <c r="Q43" s="2"/>
      <c r="T43" s="420"/>
      <c r="U43" s="481"/>
    </row>
    <row r="44" spans="1:2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2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1"/>
        <v>2886.5</v>
      </c>
      <c r="L44" s="254"/>
      <c r="M44" s="254"/>
      <c r="O44" s="81">
        <v>1.0900000000000001</v>
      </c>
      <c r="P44" s="81">
        <f t="shared" ref="P44:P63" si="3">O44*$Q$4</f>
        <v>314.99910000000006</v>
      </c>
      <c r="Q44" s="2"/>
      <c r="T44" s="420"/>
      <c r="U44" s="481"/>
    </row>
    <row r="45" spans="1:2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2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1"/>
        <v>2999.94</v>
      </c>
      <c r="L45" s="254"/>
      <c r="M45" s="254"/>
      <c r="O45" s="81">
        <v>1.08</v>
      </c>
      <c r="P45" s="81">
        <f t="shared" si="3"/>
        <v>312.10920000000004</v>
      </c>
      <c r="Q45" s="2"/>
      <c r="T45" s="420"/>
      <c r="U45" s="481"/>
    </row>
    <row r="46" spans="1:2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2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1"/>
        <v>11519.390000000001</v>
      </c>
      <c r="L46" s="254"/>
      <c r="M46" s="254"/>
      <c r="O46" s="81">
        <v>1.07</v>
      </c>
      <c r="P46" s="81">
        <f t="shared" si="3"/>
        <v>309.21930000000003</v>
      </c>
      <c r="Q46" s="2"/>
      <c r="T46" s="420"/>
      <c r="U46" s="481"/>
    </row>
    <row r="47" spans="1:2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2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1"/>
        <v>9904.4699999999993</v>
      </c>
      <c r="L47" s="254"/>
      <c r="M47" s="254"/>
      <c r="O47" s="81">
        <v>1.06</v>
      </c>
      <c r="P47" s="81">
        <f t="shared" si="3"/>
        <v>306.32940000000002</v>
      </c>
      <c r="Q47" s="2"/>
      <c r="T47" s="420"/>
      <c r="U47" s="481"/>
    </row>
    <row r="48" spans="1:2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2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1"/>
        <v>7374.86</v>
      </c>
      <c r="L48" s="254"/>
      <c r="M48" s="254"/>
      <c r="O48" s="81">
        <v>1.05</v>
      </c>
      <c r="P48" s="81">
        <f t="shared" si="3"/>
        <v>303.43950000000001</v>
      </c>
      <c r="Q48" s="2"/>
      <c r="T48" s="420"/>
      <c r="U48" s="481"/>
    </row>
    <row r="49" spans="1:2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2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3"/>
        <v>300.5496</v>
      </c>
      <c r="Q49" s="2"/>
      <c r="T49" s="420"/>
      <c r="U49" s="481"/>
    </row>
    <row r="50" spans="1:2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2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3"/>
        <v>297.65970000000004</v>
      </c>
      <c r="Q50" s="2"/>
      <c r="T50" s="420"/>
      <c r="U50" s="481"/>
    </row>
    <row r="51" spans="1:2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2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3"/>
        <v>294.76980000000003</v>
      </c>
      <c r="Q51" s="2"/>
      <c r="T51" s="420"/>
      <c r="U51" s="481"/>
    </row>
    <row r="52" spans="1:2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2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3"/>
        <v>291.87990000000002</v>
      </c>
      <c r="Q52" s="2"/>
      <c r="T52" s="420"/>
      <c r="U52" s="481"/>
    </row>
    <row r="53" spans="1:2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2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3"/>
        <v>288.99</v>
      </c>
      <c r="Q53" s="2"/>
      <c r="U53" s="482"/>
    </row>
    <row r="54" spans="1:2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3"/>
        <v>286.1001</v>
      </c>
      <c r="Q54" s="2"/>
      <c r="U54" s="482"/>
    </row>
    <row r="55" spans="1:2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3"/>
        <v>283.21019999999999</v>
      </c>
      <c r="Q55" s="2"/>
      <c r="U55" s="481"/>
    </row>
    <row r="56" spans="1:2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3"/>
        <v>280.32029999999997</v>
      </c>
      <c r="U56" s="481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277.43040000000002</v>
      </c>
      <c r="U57" s="481"/>
    </row>
    <row r="58" spans="1:21" x14ac:dyDescent="0.25">
      <c r="O58" s="81">
        <v>0.95</v>
      </c>
      <c r="P58" s="81">
        <f t="shared" si="3"/>
        <v>274.54050000000001</v>
      </c>
      <c r="U58" s="481"/>
    </row>
    <row r="59" spans="1:21" x14ac:dyDescent="0.25">
      <c r="O59" s="81">
        <v>0.94</v>
      </c>
      <c r="P59" s="81">
        <f t="shared" si="3"/>
        <v>271.6506</v>
      </c>
    </row>
    <row r="60" spans="1:2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3"/>
        <v>268.76070000000004</v>
      </c>
    </row>
    <row r="61" spans="1:2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4">IF(C61=0, 0,D61*C61)</f>
        <v>21715.200000000001</v>
      </c>
      <c r="H61" s="267">
        <f t="shared" ref="H61:H66" si="5">IF(C61=0, D61, (E61-D61)/D61)</f>
        <v>8.1970232832301801E-2</v>
      </c>
      <c r="O61" s="81">
        <v>0.92</v>
      </c>
      <c r="P61" s="81">
        <f t="shared" si="3"/>
        <v>265.87080000000003</v>
      </c>
    </row>
    <row r="62" spans="1:2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4"/>
        <v>18715.2</v>
      </c>
      <c r="H62" s="267">
        <f t="shared" si="5"/>
        <v>0.1336026331538</v>
      </c>
      <c r="O62" s="81">
        <v>0.91</v>
      </c>
      <c r="P62" s="81">
        <f t="shared" si="3"/>
        <v>262.98090000000002</v>
      </c>
    </row>
    <row r="63" spans="1:2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4"/>
        <v>21703.200000000001</v>
      </c>
      <c r="H63" s="267">
        <f t="shared" si="5"/>
        <v>0.10265767260127526</v>
      </c>
      <c r="O63" s="81">
        <v>0.9</v>
      </c>
      <c r="P63" s="81">
        <f t="shared" si="3"/>
        <v>260.09100000000001</v>
      </c>
    </row>
    <row r="64" spans="1:2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4"/>
        <v>10184</v>
      </c>
      <c r="H64" s="267">
        <f t="shared" si="5"/>
        <v>0.14681853888452484</v>
      </c>
    </row>
    <row r="65" spans="2:9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4"/>
        <v>15905.399999999998</v>
      </c>
      <c r="H65" s="267">
        <f t="shared" si="5"/>
        <v>8.2123052548191328E-2</v>
      </c>
    </row>
    <row r="66" spans="2:9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4"/>
        <v>6001.25</v>
      </c>
      <c r="H66" s="267">
        <f t="shared" si="5"/>
        <v>0.18496146636117466</v>
      </c>
    </row>
    <row r="67" spans="2:9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</row>
    <row r="69" spans="2:9" x14ac:dyDescent="0.25">
      <c r="B69" s="369">
        <v>42408</v>
      </c>
      <c r="C69" s="370">
        <v>5</v>
      </c>
      <c r="D69" s="371">
        <v>251.5</v>
      </c>
      <c r="E69" s="371">
        <v>256.52</v>
      </c>
      <c r="F69" s="371">
        <f>C69*(E69-D69)</f>
        <v>25.099999999999909</v>
      </c>
      <c r="G69" s="371">
        <f>D69*C69</f>
        <v>1257.5</v>
      </c>
      <c r="H69" s="372">
        <f>(E69-D69)/D69</f>
        <v>1.9960238568588397E-2</v>
      </c>
      <c r="I69" s="372"/>
    </row>
    <row r="70" spans="2:9" x14ac:dyDescent="0.25">
      <c r="B70" s="369">
        <v>42422</v>
      </c>
      <c r="C70" s="370">
        <v>5</v>
      </c>
      <c r="D70" s="371">
        <v>251.5</v>
      </c>
      <c r="E70" s="371">
        <v>265.83</v>
      </c>
      <c r="F70" s="371">
        <f t="shared" ref="F70:F79" si="6">C70*(E70-D70)</f>
        <v>71.64999999999992</v>
      </c>
      <c r="G70" s="371">
        <f t="shared" ref="G70:G80" si="7">D70*C70</f>
        <v>1257.5</v>
      </c>
      <c r="H70" s="372">
        <f t="shared" ref="H70:H79" si="8">(E70-D70)/D70</f>
        <v>5.6978131212723597E-2</v>
      </c>
      <c r="I70" s="372"/>
    </row>
    <row r="71" spans="2:9" x14ac:dyDescent="0.25">
      <c r="B71" s="369">
        <v>42431</v>
      </c>
      <c r="C71" s="370">
        <v>5</v>
      </c>
      <c r="D71" s="371">
        <v>251.5</v>
      </c>
      <c r="E71" s="371">
        <v>273.66000000000003</v>
      </c>
      <c r="F71" s="371">
        <f t="shared" si="6"/>
        <v>110.80000000000013</v>
      </c>
      <c r="G71" s="371">
        <f t="shared" si="7"/>
        <v>1257.5</v>
      </c>
      <c r="H71" s="372">
        <f t="shared" si="8"/>
        <v>8.8111332007952389E-2</v>
      </c>
      <c r="I71" s="372"/>
    </row>
    <row r="72" spans="2:9" x14ac:dyDescent="0.25">
      <c r="B72" s="369">
        <v>42433</v>
      </c>
      <c r="C72" s="370">
        <v>5</v>
      </c>
      <c r="D72" s="371">
        <v>251.5</v>
      </c>
      <c r="E72" s="371">
        <v>263.94</v>
      </c>
      <c r="F72" s="371">
        <f t="shared" si="6"/>
        <v>62.199999999999989</v>
      </c>
      <c r="G72" s="371">
        <f t="shared" si="7"/>
        <v>1257.5</v>
      </c>
      <c r="H72" s="372">
        <f t="shared" si="8"/>
        <v>4.9463220675944324E-2</v>
      </c>
      <c r="I72" s="372"/>
    </row>
    <row r="73" spans="2:9" x14ac:dyDescent="0.25">
      <c r="B73" s="369">
        <v>42439</v>
      </c>
      <c r="C73" s="370">
        <v>5</v>
      </c>
      <c r="D73" s="371">
        <v>251.5</v>
      </c>
      <c r="E73" s="371">
        <v>251.97</v>
      </c>
      <c r="F73" s="371">
        <f t="shared" si="6"/>
        <v>2.3499999999999943</v>
      </c>
      <c r="G73" s="371">
        <f t="shared" si="7"/>
        <v>1257.5</v>
      </c>
      <c r="H73" s="373">
        <f t="shared" si="8"/>
        <v>1.8687872763419437E-3</v>
      </c>
      <c r="I73" s="373"/>
    </row>
    <row r="74" spans="2:9" x14ac:dyDescent="0.25">
      <c r="B74" s="369">
        <v>42444</v>
      </c>
      <c r="C74" s="370">
        <v>5</v>
      </c>
      <c r="D74" s="371">
        <v>251.5</v>
      </c>
      <c r="E74" s="371">
        <v>250.33</v>
      </c>
      <c r="F74" s="371">
        <f t="shared" si="6"/>
        <v>-5.8499999999999375</v>
      </c>
      <c r="G74" s="371">
        <f t="shared" si="7"/>
        <v>1257.5</v>
      </c>
      <c r="H74" s="373">
        <f t="shared" si="8"/>
        <v>-4.6520874751490556E-3</v>
      </c>
      <c r="I74" s="373"/>
    </row>
    <row r="75" spans="2:9" x14ac:dyDescent="0.25">
      <c r="B75" s="369">
        <v>42446</v>
      </c>
      <c r="C75" s="370">
        <v>15</v>
      </c>
      <c r="D75" s="371">
        <v>245.5333</v>
      </c>
      <c r="E75" s="371">
        <v>246.31</v>
      </c>
      <c r="F75" s="371">
        <f t="shared" si="6"/>
        <v>11.650500000000079</v>
      </c>
      <c r="G75" s="371">
        <f t="shared" si="7"/>
        <v>3682.9994999999999</v>
      </c>
      <c r="H75" s="373">
        <f t="shared" si="8"/>
        <v>3.1633183767741701E-3</v>
      </c>
      <c r="I75" s="373"/>
    </row>
    <row r="76" spans="2:9" x14ac:dyDescent="0.25">
      <c r="B76" s="369">
        <v>42447</v>
      </c>
      <c r="C76" s="370">
        <v>10</v>
      </c>
      <c r="D76" s="371">
        <v>243.50800000000001</v>
      </c>
      <c r="E76" s="371">
        <v>250.78</v>
      </c>
      <c r="F76" s="371">
        <f t="shared" si="6"/>
        <v>72.719999999999914</v>
      </c>
      <c r="G76" s="371">
        <f t="shared" si="7"/>
        <v>2435.08</v>
      </c>
      <c r="H76" s="373">
        <f t="shared" si="8"/>
        <v>2.9863495244509385E-2</v>
      </c>
      <c r="I76" s="373" t="s">
        <v>190</v>
      </c>
    </row>
    <row r="77" spans="2:9" x14ac:dyDescent="0.25">
      <c r="B77" s="369">
        <v>42458</v>
      </c>
      <c r="C77" s="370">
        <v>10</v>
      </c>
      <c r="D77" s="371">
        <v>243.50800000000001</v>
      </c>
      <c r="E77" s="371">
        <v>254.68</v>
      </c>
      <c r="F77" s="371">
        <f t="shared" si="6"/>
        <v>111.71999999999997</v>
      </c>
      <c r="G77" s="371">
        <f t="shared" si="7"/>
        <v>2435.08</v>
      </c>
      <c r="H77" s="373">
        <f t="shared" si="8"/>
        <v>4.587939615946908E-2</v>
      </c>
      <c r="I77" s="373"/>
    </row>
    <row r="78" spans="2:9" x14ac:dyDescent="0.25">
      <c r="B78" s="369">
        <v>42460</v>
      </c>
      <c r="C78" s="370">
        <v>5</v>
      </c>
      <c r="D78" s="371">
        <v>225.80199999999999</v>
      </c>
      <c r="E78" s="371">
        <v>260.32</v>
      </c>
      <c r="F78" s="371">
        <f t="shared" si="6"/>
        <v>172.59</v>
      </c>
      <c r="G78" s="371">
        <f t="shared" si="7"/>
        <v>1129.01</v>
      </c>
      <c r="H78" s="373">
        <f t="shared" si="8"/>
        <v>0.15286844226357607</v>
      </c>
      <c r="I78" s="373"/>
    </row>
    <row r="79" spans="2:9" x14ac:dyDescent="0.25">
      <c r="B79" s="369">
        <v>42469</v>
      </c>
      <c r="C79" s="370">
        <v>5</v>
      </c>
      <c r="D79" s="371">
        <v>225.80199999999999</v>
      </c>
      <c r="E79" s="371">
        <v>270.83</v>
      </c>
      <c r="F79" s="371">
        <f t="shared" si="6"/>
        <v>225.13999999999996</v>
      </c>
      <c r="G79" s="371">
        <f t="shared" si="7"/>
        <v>1129.01</v>
      </c>
      <c r="H79" s="373">
        <f t="shared" si="8"/>
        <v>0.1994136455832986</v>
      </c>
      <c r="I79" s="373"/>
    </row>
    <row r="80" spans="2:9" x14ac:dyDescent="0.25">
      <c r="B80" s="369">
        <v>42482</v>
      </c>
      <c r="C80" s="370">
        <v>0</v>
      </c>
      <c r="D80" s="371">
        <v>0</v>
      </c>
      <c r="E80" s="371">
        <v>0</v>
      </c>
      <c r="F80" s="371">
        <v>285.70999999999998</v>
      </c>
      <c r="G80" s="371">
        <f t="shared" si="7"/>
        <v>0</v>
      </c>
      <c r="H80" s="373"/>
      <c r="I80" s="373"/>
    </row>
    <row r="81" spans="2:9" x14ac:dyDescent="0.25">
      <c r="B81" s="370"/>
      <c r="C81" s="370"/>
      <c r="D81" s="371"/>
      <c r="E81" s="371"/>
      <c r="F81" s="371"/>
      <c r="G81" s="371"/>
      <c r="H81" s="373"/>
      <c r="I81" s="373"/>
    </row>
    <row r="82" spans="2:9" x14ac:dyDescent="0.25">
      <c r="B82" s="370"/>
      <c r="C82" s="370"/>
      <c r="D82" s="371"/>
      <c r="E82" s="371"/>
      <c r="F82" s="371"/>
      <c r="G82" s="371"/>
      <c r="H82" s="373"/>
      <c r="I82" s="373"/>
    </row>
  </sheetData>
  <mergeCells count="1">
    <mergeCell ref="O42:P42"/>
  </mergeCells>
  <conditionalFormatting sqref="N19 F25:F35">
    <cfRule type="expression" dxfId="2559" priority="58">
      <formula>F19&gt;0</formula>
    </cfRule>
    <cfRule type="expression" dxfId="25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57" priority="47">
      <formula>H25&gt;0</formula>
    </cfRule>
    <cfRule type="expression" dxfId="2556" priority="48">
      <formula>H25&lt;0</formula>
    </cfRule>
  </conditionalFormatting>
  <conditionalFormatting sqref="M39">
    <cfRule type="expression" dxfId="2555" priority="45">
      <formula>M39&gt;0</formula>
    </cfRule>
    <cfRule type="expression" dxfId="2554" priority="46">
      <formula>M39&lt;0</formula>
    </cfRule>
  </conditionalFormatting>
  <conditionalFormatting sqref="F61:F67">
    <cfRule type="expression" dxfId="2553" priority="43">
      <formula>F61&gt;0</formula>
    </cfRule>
    <cfRule type="expression" dxfId="2552" priority="44">
      <formula>F61&lt;0</formula>
    </cfRule>
  </conditionalFormatting>
  <conditionalFormatting sqref="H61:H67">
    <cfRule type="expression" dxfId="2551" priority="41">
      <formula>H61&gt;0</formula>
    </cfRule>
    <cfRule type="expression" dxfId="2550" priority="42">
      <formula>H61&lt;0</formula>
    </cfRule>
  </conditionalFormatting>
  <conditionalFormatting sqref="F21:F24">
    <cfRule type="expression" dxfId="2549" priority="39">
      <formula>F21&gt;0</formula>
    </cfRule>
    <cfRule type="expression" dxfId="2548" priority="40">
      <formula>F21&lt;0</formula>
    </cfRule>
  </conditionalFormatting>
  <conditionalFormatting sqref="H21:H24">
    <cfRule type="expression" dxfId="2547" priority="37">
      <formula>H21&gt;0</formula>
    </cfRule>
    <cfRule type="expression" dxfId="2546" priority="38">
      <formula>H21&lt;0</formula>
    </cfRule>
  </conditionalFormatting>
  <conditionalFormatting sqref="I25:I28">
    <cfRule type="expression" dxfId="2545" priority="31">
      <formula>I25&gt;0</formula>
    </cfRule>
    <cfRule type="expression" dxfId="2544" priority="32">
      <formula>I25&lt;0</formula>
    </cfRule>
  </conditionalFormatting>
  <conditionalFormatting sqref="I21:I24">
    <cfRule type="expression" dxfId="2543" priority="29">
      <formula>I21&gt;0</formula>
    </cfRule>
    <cfRule type="expression" dxfId="2542" priority="30">
      <formula>I21&lt;0</formula>
    </cfRule>
  </conditionalFormatting>
  <conditionalFormatting sqref="H29">
    <cfRule type="expression" dxfId="2541" priority="27">
      <formula>H29&gt;0</formula>
    </cfRule>
    <cfRule type="expression" dxfId="2540" priority="28">
      <formula>H29&lt;0</formula>
    </cfRule>
  </conditionalFormatting>
  <conditionalFormatting sqref="H30">
    <cfRule type="expression" dxfId="2539" priority="25">
      <formula>H30&gt;0</formula>
    </cfRule>
    <cfRule type="expression" dxfId="2538" priority="26">
      <formula>H30&lt;0</formula>
    </cfRule>
  </conditionalFormatting>
  <conditionalFormatting sqref="H31">
    <cfRule type="expression" dxfId="2537" priority="23">
      <formula>H31&gt;0</formula>
    </cfRule>
    <cfRule type="expression" dxfId="2536" priority="24">
      <formula>H31&lt;0</formula>
    </cfRule>
  </conditionalFormatting>
  <conditionalFormatting sqref="Q7">
    <cfRule type="expression" dxfId="2535" priority="21">
      <formula>Q7&gt;0</formula>
    </cfRule>
    <cfRule type="expression" dxfId="2534" priority="22">
      <formula>Q7&lt;0</formula>
    </cfRule>
  </conditionalFormatting>
  <conditionalFormatting sqref="Q8">
    <cfRule type="expression" dxfId="2533" priority="19">
      <formula>Q8&gt;0</formula>
    </cfRule>
    <cfRule type="expression" dxfId="2532" priority="20">
      <formula>Q8&lt;0</formula>
    </cfRule>
  </conditionalFormatting>
  <conditionalFormatting sqref="F73:F82">
    <cfRule type="expression" dxfId="2531" priority="17">
      <formula>F73&gt;0</formula>
    </cfRule>
    <cfRule type="expression" dxfId="2530" priority="18">
      <formula>F73&lt;0</formula>
    </cfRule>
  </conditionalFormatting>
  <conditionalFormatting sqref="H73:H76">
    <cfRule type="expression" dxfId="2529" priority="15">
      <formula>H73&gt;0</formula>
    </cfRule>
    <cfRule type="expression" dxfId="2528" priority="16">
      <formula>H73&lt;0</formula>
    </cfRule>
  </conditionalFormatting>
  <conditionalFormatting sqref="F69:F72">
    <cfRule type="expression" dxfId="2527" priority="13">
      <formula>F69&gt;0</formula>
    </cfRule>
    <cfRule type="expression" dxfId="2526" priority="14">
      <formula>F69&lt;0</formula>
    </cfRule>
  </conditionalFormatting>
  <conditionalFormatting sqref="H69:H72">
    <cfRule type="expression" dxfId="2525" priority="11">
      <formula>H69&gt;0</formula>
    </cfRule>
    <cfRule type="expression" dxfId="2524" priority="12">
      <formula>H69&lt;0</formula>
    </cfRule>
  </conditionalFormatting>
  <conditionalFormatting sqref="I73:I76">
    <cfRule type="expression" dxfId="2523" priority="9">
      <formula>I73&gt;0</formula>
    </cfRule>
    <cfRule type="expression" dxfId="2522" priority="10">
      <formula>I73&lt;0</formula>
    </cfRule>
  </conditionalFormatting>
  <conditionalFormatting sqref="I69:I72">
    <cfRule type="expression" dxfId="2521" priority="7">
      <formula>I69&gt;0</formula>
    </cfRule>
    <cfRule type="expression" dxfId="2520" priority="8">
      <formula>I69&lt;0</formula>
    </cfRule>
  </conditionalFormatting>
  <conditionalFormatting sqref="H77">
    <cfRule type="expression" dxfId="2519" priority="5">
      <formula>H77&gt;0</formula>
    </cfRule>
    <cfRule type="expression" dxfId="2518" priority="6">
      <formula>H77&lt;0</formula>
    </cfRule>
  </conditionalFormatting>
  <conditionalFormatting sqref="H78">
    <cfRule type="expression" dxfId="2517" priority="3">
      <formula>H78&gt;0</formula>
    </cfRule>
    <cfRule type="expression" dxfId="2516" priority="4">
      <formula>H78&lt;0</formula>
    </cfRule>
  </conditionalFormatting>
  <conditionalFormatting sqref="H79">
    <cfRule type="expression" dxfId="2515" priority="1">
      <formula>H79&gt;0</formula>
    </cfRule>
    <cfRule type="expression" dxfId="25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40.32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40.32</v>
      </c>
      <c r="R4" s="503">
        <v>-1.9199999999999998E-2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3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6" t="s">
        <v>1</v>
      </c>
      <c r="B36" s="376" t="s">
        <v>2</v>
      </c>
      <c r="C36" s="376" t="s">
        <v>4</v>
      </c>
      <c r="D36" s="378" t="s">
        <v>5</v>
      </c>
      <c r="E36" s="378" t="s">
        <v>94</v>
      </c>
      <c r="F36" s="378" t="s">
        <v>60</v>
      </c>
      <c r="G36" s="376" t="s">
        <v>3</v>
      </c>
      <c r="H36" s="376" t="s">
        <v>6</v>
      </c>
      <c r="I36" s="376" t="s">
        <v>7</v>
      </c>
      <c r="J36" s="376" t="s">
        <v>95</v>
      </c>
      <c r="K36" s="378" t="s">
        <v>61</v>
      </c>
      <c r="L36" s="376" t="s">
        <v>77</v>
      </c>
      <c r="M36" s="376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9" t="s">
        <v>204</v>
      </c>
      <c r="B37" s="369">
        <v>42502</v>
      </c>
      <c r="C37" s="370">
        <v>60</v>
      </c>
      <c r="D37" s="371">
        <v>38.25</v>
      </c>
      <c r="E37" s="371">
        <v>0</v>
      </c>
      <c r="F37" s="371">
        <f>C37*D37 + E37</f>
        <v>2295</v>
      </c>
      <c r="G37" s="369">
        <v>42528</v>
      </c>
      <c r="H37" s="374">
        <v>30</v>
      </c>
      <c r="I37" s="371">
        <v>45.25</v>
      </c>
      <c r="J37" s="371">
        <v>0.03</v>
      </c>
      <c r="K37" s="371">
        <f>H37*I37 - J37</f>
        <v>1357.47</v>
      </c>
      <c r="L37" s="370"/>
      <c r="M37" s="370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0" t="s">
        <v>71</v>
      </c>
      <c r="B38" s="381"/>
      <c r="C38" s="370"/>
      <c r="D38" s="371"/>
      <c r="E38" s="371"/>
      <c r="F38" s="371"/>
      <c r="G38" s="369">
        <v>42544</v>
      </c>
      <c r="H38" s="374">
        <v>30</v>
      </c>
      <c r="I38" s="371">
        <v>45.91</v>
      </c>
      <c r="J38" s="371">
        <v>-0.01</v>
      </c>
      <c r="K38" s="371">
        <f>H38*I38 - J38</f>
        <v>1377.31</v>
      </c>
      <c r="L38" s="370"/>
      <c r="M38" s="370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0"/>
      <c r="B39" s="381"/>
      <c r="C39" s="370"/>
      <c r="D39" s="371"/>
      <c r="E39" s="371"/>
      <c r="F39" s="371"/>
      <c r="G39" s="369"/>
      <c r="H39" s="374"/>
      <c r="I39" s="371"/>
      <c r="J39" s="371"/>
      <c r="K39" s="371"/>
      <c r="L39" s="370"/>
      <c r="M39" s="370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0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0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0"/>
      <c r="B41" s="381"/>
      <c r="C41" s="370"/>
      <c r="D41" s="371"/>
      <c r="E41" s="371"/>
      <c r="F41" s="371"/>
      <c r="G41" s="369"/>
      <c r="H41" s="374"/>
      <c r="I41" s="371"/>
      <c r="J41" s="371"/>
      <c r="K41" s="371"/>
      <c r="L41" s="370"/>
      <c r="M41" s="370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0"/>
      <c r="B42" s="381"/>
      <c r="C42" s="370"/>
      <c r="D42" s="371"/>
      <c r="E42" s="371"/>
      <c r="F42" s="371"/>
      <c r="G42" s="369"/>
      <c r="H42" s="374"/>
      <c r="I42" s="371"/>
      <c r="J42" s="371"/>
      <c r="K42" s="371"/>
      <c r="L42" s="370"/>
      <c r="M42" s="370"/>
      <c r="O42" s="811" t="s">
        <v>78</v>
      </c>
      <c r="P42" s="811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0"/>
      <c r="B43" s="369"/>
      <c r="C43" s="370"/>
      <c r="D43" s="371"/>
      <c r="E43" s="371"/>
      <c r="F43" s="371"/>
      <c r="G43" s="369"/>
      <c r="H43" s="374"/>
      <c r="I43" s="371"/>
      <c r="J43" s="371"/>
      <c r="K43" s="371"/>
      <c r="L43" s="370"/>
      <c r="M43" s="370"/>
      <c r="O43" s="81">
        <v>1.1000000000000001</v>
      </c>
      <c r="P43" s="81">
        <f>O43*$Q$4</f>
        <v>44.352000000000004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0"/>
      <c r="B44" s="369"/>
      <c r="C44" s="370"/>
      <c r="D44" s="371"/>
      <c r="E44" s="371"/>
      <c r="F44" s="371"/>
      <c r="G44" s="369"/>
      <c r="H44" s="374"/>
      <c r="I44" s="371"/>
      <c r="J44" s="371"/>
      <c r="K44" s="371"/>
      <c r="L44" s="370"/>
      <c r="M44" s="370"/>
      <c r="O44" s="81">
        <v>1.0900000000000001</v>
      </c>
      <c r="P44" s="81">
        <f t="shared" ref="P44:P63" si="3">O44*$Q$4</f>
        <v>43.948800000000006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0"/>
      <c r="I45" s="370"/>
      <c r="J45" s="370"/>
      <c r="K45" s="371"/>
      <c r="L45" s="370"/>
      <c r="M45" s="370"/>
      <c r="O45" s="81">
        <v>1.08</v>
      </c>
      <c r="P45" s="81">
        <f t="shared" si="3"/>
        <v>43.5456</v>
      </c>
      <c r="Q45" s="2"/>
      <c r="T45" s="106" t="s">
        <v>99</v>
      </c>
      <c r="U45" s="359" t="s">
        <v>584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0"/>
      <c r="I46" s="370"/>
      <c r="J46" s="370"/>
      <c r="K46" s="371"/>
      <c r="L46" s="370"/>
      <c r="M46" s="370"/>
      <c r="O46" s="81">
        <v>1.07</v>
      </c>
      <c r="P46" s="81">
        <f t="shared" si="3"/>
        <v>43.142400000000002</v>
      </c>
      <c r="Q46" s="2"/>
      <c r="T46" s="106" t="s">
        <v>100</v>
      </c>
      <c r="U46" s="359" t="s">
        <v>585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0"/>
      <c r="I47" s="370"/>
      <c r="J47" s="370"/>
      <c r="K47" s="371"/>
      <c r="L47" s="370"/>
      <c r="M47" s="370"/>
      <c r="O47" s="81">
        <v>1.06</v>
      </c>
      <c r="P47" s="81">
        <f t="shared" si="3"/>
        <v>42.739200000000004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0"/>
      <c r="B48" s="369"/>
      <c r="C48" s="370"/>
      <c r="D48" s="371"/>
      <c r="E48" s="371"/>
      <c r="F48" s="371"/>
      <c r="G48" s="369"/>
      <c r="H48" s="370"/>
      <c r="I48" s="371"/>
      <c r="J48" s="370"/>
      <c r="K48" s="371"/>
      <c r="L48" s="370"/>
      <c r="M48" s="370"/>
      <c r="O48" s="81">
        <v>1.05</v>
      </c>
      <c r="P48" s="81">
        <f t="shared" si="3"/>
        <v>42.336000000000006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0"/>
      <c r="B49" s="369"/>
      <c r="C49" s="370"/>
      <c r="D49" s="371"/>
      <c r="E49" s="371"/>
      <c r="F49" s="371"/>
      <c r="G49" s="369"/>
      <c r="H49" s="370"/>
      <c r="I49" s="370"/>
      <c r="J49" s="370"/>
      <c r="K49" s="371"/>
      <c r="L49" s="370"/>
      <c r="M49" s="370"/>
      <c r="O49" s="81">
        <v>1.04</v>
      </c>
      <c r="P49" s="81">
        <f t="shared" si="3"/>
        <v>41.9328</v>
      </c>
      <c r="Q49" s="2"/>
      <c r="T49" s="106" t="s">
        <v>121</v>
      </c>
      <c r="U49" s="359" t="s">
        <v>434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0"/>
      <c r="B50" s="370"/>
      <c r="C50" s="370"/>
      <c r="D50" s="371"/>
      <c r="E50" s="371"/>
      <c r="F50" s="371"/>
      <c r="G50" s="369"/>
      <c r="H50" s="370"/>
      <c r="I50" s="370"/>
      <c r="J50" s="370"/>
      <c r="K50" s="371"/>
      <c r="L50" s="370"/>
      <c r="M50" s="370"/>
      <c r="O50" s="81">
        <v>1.03</v>
      </c>
      <c r="P50" s="81">
        <f t="shared" si="3"/>
        <v>41.529600000000002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0"/>
      <c r="B51" s="370"/>
      <c r="C51" s="370"/>
      <c r="D51" s="371"/>
      <c r="E51" s="371"/>
      <c r="F51" s="371"/>
      <c r="G51" s="369"/>
      <c r="H51" s="370"/>
      <c r="I51" s="370"/>
      <c r="J51" s="370"/>
      <c r="K51" s="371"/>
      <c r="L51" s="370"/>
      <c r="M51" s="370"/>
      <c r="O51" s="81">
        <v>1.02</v>
      </c>
      <c r="P51" s="81">
        <f t="shared" si="3"/>
        <v>41.126400000000004</v>
      </c>
      <c r="Q51" s="2"/>
      <c r="T51" s="106" t="s">
        <v>104</v>
      </c>
      <c r="U51" s="359" t="s">
        <v>586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0"/>
      <c r="B52" s="370"/>
      <c r="C52" s="370"/>
      <c r="D52" s="371"/>
      <c r="E52" s="371"/>
      <c r="F52" s="371"/>
      <c r="G52" s="369"/>
      <c r="H52" s="370"/>
      <c r="I52" s="370"/>
      <c r="J52" s="370"/>
      <c r="K52" s="371"/>
      <c r="L52" s="370"/>
      <c r="M52" s="370"/>
      <c r="O52" s="81">
        <v>1.01</v>
      </c>
      <c r="P52" s="81">
        <f t="shared" si="3"/>
        <v>40.723199999999999</v>
      </c>
      <c r="Q52" s="2"/>
      <c r="T52" s="106" t="s">
        <v>105</v>
      </c>
      <c r="U52" s="359" t="s">
        <v>424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40.32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39.916800000000002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39.513599999999997</v>
      </c>
      <c r="Q55" s="2"/>
      <c r="T55" s="106" t="s">
        <v>107</v>
      </c>
      <c r="U55" s="359" t="s">
        <v>587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39.110399999999998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38.7072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38.303999999999995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37.900799999999997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37.497600000000006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37.0944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36.691200000000002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36.288000000000004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13" priority="29">
      <formula>N19&gt;0</formula>
    </cfRule>
    <cfRule type="expression" dxfId="251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11" priority="23">
      <formula>F22&gt;0</formula>
    </cfRule>
    <cfRule type="expression" dxfId="2510" priority="24">
      <formula>F22&lt;0</formula>
    </cfRule>
  </conditionalFormatting>
  <conditionalFormatting sqref="H22:H31">
    <cfRule type="expression" dxfId="2509" priority="21">
      <formula>H22&gt;0</formula>
    </cfRule>
    <cfRule type="expression" dxfId="2508" priority="22">
      <formula>H22&lt;0</formula>
    </cfRule>
  </conditionalFormatting>
  <conditionalFormatting sqref="I21:J31">
    <cfRule type="expression" dxfId="2507" priority="19">
      <formula>I21&gt;0</formula>
    </cfRule>
    <cfRule type="expression" dxfId="2506" priority="20">
      <formula>I21&lt;0</formula>
    </cfRule>
  </conditionalFormatting>
  <conditionalFormatting sqref="Q8">
    <cfRule type="expression" dxfId="2505" priority="11">
      <formula>Q8&gt;0</formula>
    </cfRule>
    <cfRule type="expression" dxfId="2504" priority="12">
      <formula>Q8&lt;0</formula>
    </cfRule>
  </conditionalFormatting>
  <conditionalFormatting sqref="Q7">
    <cfRule type="expression" dxfId="2503" priority="13">
      <formula>Q7&gt;0</formula>
    </cfRule>
    <cfRule type="expression" dxfId="2502" priority="14">
      <formula>Q7&lt;0</formula>
    </cfRule>
  </conditionalFormatting>
  <conditionalFormatting sqref="F56:F66">
    <cfRule type="expression" dxfId="2501" priority="9">
      <formula>F56&gt;0</formula>
    </cfRule>
    <cfRule type="expression" dxfId="2500" priority="10">
      <formula>F56&lt;0</formula>
    </cfRule>
  </conditionalFormatting>
  <conditionalFormatting sqref="H56:H66">
    <cfRule type="expression" dxfId="2499" priority="7">
      <formula>H56&gt;0</formula>
    </cfRule>
    <cfRule type="expression" dxfId="2498" priority="8">
      <formula>H56&lt;0</formula>
    </cfRule>
  </conditionalFormatting>
  <conditionalFormatting sqref="I56:I66">
    <cfRule type="expression" dxfId="2497" priority="5">
      <formula>I56&gt;0</formula>
    </cfRule>
    <cfRule type="expression" dxfId="2496" priority="6">
      <formula>I56&lt;0</formula>
    </cfRule>
  </conditionalFormatting>
  <conditionalFormatting sqref="F21">
    <cfRule type="expression" dxfId="2495" priority="3">
      <formula>F21&gt;0</formula>
    </cfRule>
    <cfRule type="expression" dxfId="2494" priority="4">
      <formula>F21&lt;0</formula>
    </cfRule>
  </conditionalFormatting>
  <conditionalFormatting sqref="H21">
    <cfRule type="expression" dxfId="2493" priority="1">
      <formula>H21&gt;0</formula>
    </cfRule>
    <cfRule type="expression" dxfId="249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4">
        <v>42998</v>
      </c>
      <c r="C2" s="7">
        <v>50</v>
      </c>
      <c r="D2" s="43">
        <v>65.680000000000007</v>
      </c>
      <c r="E2" s="43">
        <v>0</v>
      </c>
      <c r="F2" s="43">
        <f t="shared" ref="F2:F11" si="0">C2*D2+E2</f>
        <v>3284.0000000000005</v>
      </c>
      <c r="G2" s="444">
        <v>43028</v>
      </c>
      <c r="H2" s="7">
        <v>50</v>
      </c>
      <c r="I2" s="43">
        <v>65.28</v>
      </c>
      <c r="J2" s="43">
        <v>0.08</v>
      </c>
      <c r="K2" s="43">
        <f t="shared" ref="K2:K7" si="1">H2*I2-J2</f>
        <v>3263.92</v>
      </c>
      <c r="L2" s="72">
        <v>43069</v>
      </c>
      <c r="M2" s="43">
        <v>31</v>
      </c>
      <c r="O2" s="11" t="s">
        <v>57</v>
      </c>
      <c r="Q2">
        <f>C22-H22</f>
        <v>200</v>
      </c>
      <c r="T2" s="1">
        <v>42568</v>
      </c>
      <c r="U2" t="s">
        <v>242</v>
      </c>
    </row>
    <row r="3" spans="1:31" x14ac:dyDescent="0.25">
      <c r="A3" s="22" t="s">
        <v>71</v>
      </c>
      <c r="B3" s="44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/>
      <c r="M3" s="3"/>
      <c r="O3" s="11" t="s">
        <v>58</v>
      </c>
      <c r="Q3" s="225">
        <f>IF(Q2=0, Q4, (F22-K22-M22)/Q2)</f>
        <v>54.98449999999999</v>
      </c>
      <c r="T3" s="1">
        <v>43112</v>
      </c>
      <c r="U3" t="s">
        <v>934</v>
      </c>
      <c r="X3" s="1"/>
      <c r="AB3" s="229"/>
      <c r="AE3" s="229"/>
    </row>
    <row r="4" spans="1:31" x14ac:dyDescent="0.25">
      <c r="B4" s="44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/>
      <c r="M4" s="3"/>
      <c r="O4" s="11" t="s">
        <v>66</v>
      </c>
      <c r="Q4" s="54">
        <v>50.28</v>
      </c>
      <c r="R4" s="226">
        <v>-7.6E-3</v>
      </c>
      <c r="T4" s="1">
        <v>43114</v>
      </c>
      <c r="U4" t="s">
        <v>932</v>
      </c>
      <c r="AB4" s="229"/>
      <c r="AE4" s="229"/>
    </row>
    <row r="5" spans="1:31" x14ac:dyDescent="0.25">
      <c r="B5" s="444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10056</v>
      </c>
      <c r="T5" s="1">
        <v>43117</v>
      </c>
      <c r="U5" t="s">
        <v>945</v>
      </c>
      <c r="AB5" s="229"/>
      <c r="AE5" s="229"/>
    </row>
    <row r="6" spans="1:31" x14ac:dyDescent="0.25">
      <c r="B6" s="44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4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10996.899999999998</v>
      </c>
      <c r="AB6" s="229"/>
      <c r="AE6" s="229"/>
    </row>
    <row r="7" spans="1:31" x14ac:dyDescent="0.25">
      <c r="A7" t="s">
        <v>829</v>
      </c>
      <c r="B7" s="444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44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216.96999999999753</v>
      </c>
      <c r="R7" s="29">
        <v>43171</v>
      </c>
      <c r="AB7" s="229"/>
      <c r="AE7" s="229"/>
    </row>
    <row r="8" spans="1:31" x14ac:dyDescent="0.25">
      <c r="B8" s="485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-940.89999999999782</v>
      </c>
      <c r="T8" s="159">
        <v>43167</v>
      </c>
      <c r="U8" t="s">
        <v>933</v>
      </c>
      <c r="AB8" s="229"/>
      <c r="AE8" s="229"/>
    </row>
    <row r="9" spans="1:31" x14ac:dyDescent="0.25">
      <c r="B9" s="485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-8.5560476134183092E-2</v>
      </c>
      <c r="T9" s="154"/>
    </row>
    <row r="10" spans="1:31" x14ac:dyDescent="0.25">
      <c r="B10" s="485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485">
        <v>43151</v>
      </c>
      <c r="C11" s="4">
        <v>50</v>
      </c>
      <c r="D11" s="3">
        <v>49.38</v>
      </c>
      <c r="E11" s="3">
        <v>0</v>
      </c>
      <c r="F11" s="3">
        <f t="shared" si="0"/>
        <v>2469</v>
      </c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2.4661893396976928E-2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0"/>
      <c r="P15" s="420"/>
      <c r="Q15" s="420"/>
      <c r="R15" s="420"/>
      <c r="S15" s="420"/>
      <c r="T15" s="420"/>
      <c r="U15" s="420"/>
      <c r="V15" s="420"/>
      <c r="W15" s="782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3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4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500</v>
      </c>
      <c r="D22" s="14"/>
      <c r="E22" s="14"/>
      <c r="F22" s="18">
        <f>SUM(F2:F17)</f>
        <v>27870.5</v>
      </c>
      <c r="G22" s="14"/>
      <c r="H22" s="14">
        <f>SUM(H2:H14)</f>
        <v>300</v>
      </c>
      <c r="I22" s="14"/>
      <c r="J22" s="14"/>
      <c r="K22" s="14">
        <f>SUM(K2:K14)</f>
        <v>16842.600000000002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250</v>
      </c>
      <c r="D23" s="349"/>
      <c r="E23" s="349"/>
      <c r="F23" s="350">
        <f>SumByColor($A$23,F2:F21)</f>
        <v>13791</v>
      </c>
      <c r="G23" s="349"/>
      <c r="H23" s="349">
        <f>SumByColor($A$23,H2:H21)</f>
        <v>250</v>
      </c>
      <c r="I23" s="349"/>
      <c r="J23" s="349"/>
      <c r="K23" s="350">
        <f>SumByColor($A$23,K2:K21)</f>
        <v>14259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7" t="s">
        <v>113</v>
      </c>
      <c r="C28" s="497" t="s">
        <v>146</v>
      </c>
      <c r="D28" s="498" t="s">
        <v>145</v>
      </c>
      <c r="E28" s="499" t="s">
        <v>147</v>
      </c>
      <c r="F28" s="500" t="s">
        <v>65</v>
      </c>
      <c r="G28" s="501" t="s">
        <v>151</v>
      </c>
      <c r="H28" s="500" t="s">
        <v>88</v>
      </c>
      <c r="I28" s="500" t="s">
        <v>154</v>
      </c>
      <c r="J28" s="500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6">
        <f t="shared" ref="H29" si="4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6">
        <f t="shared" ref="H30" si="7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6">
        <f t="shared" ref="H31" si="10">(E31-D31)/D31</f>
        <v>6.1528217901136786E-3</v>
      </c>
      <c r="I31" s="197" t="s">
        <v>799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6">
        <f t="shared" ref="H32:H36" si="13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6">
        <f t="shared" si="13"/>
        <v>2.4372239668697671E-2</v>
      </c>
      <c r="I33" s="197" t="s">
        <v>801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6">
        <f t="shared" si="13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6">
        <f t="shared" si="13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6">
        <f t="shared" si="13"/>
        <v>-0.16448936231301498</v>
      </c>
      <c r="I36" s="127" t="s">
        <v>813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6">
        <f t="shared" ref="H37:H38" si="16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6">
        <f t="shared" si="16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9" si="17">C39*(E39-D39)</f>
        <v>-545.00000000000023</v>
      </c>
      <c r="G39" s="39">
        <f t="shared" ref="G39:G49" si="18">D39*C39</f>
        <v>6238</v>
      </c>
      <c r="H39" s="226">
        <f t="shared" ref="H39:H49" si="19">(E39-D39)/D39</f>
        <v>-8.736774607245916E-2</v>
      </c>
      <c r="I39" s="10"/>
      <c r="J39" s="39">
        <v>613</v>
      </c>
      <c r="O39" s="686" t="s">
        <v>78</v>
      </c>
      <c r="P39" s="686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6">
        <f t="shared" si="19"/>
        <v>-0.11718499519076631</v>
      </c>
      <c r="I40" s="10"/>
      <c r="J40" s="39">
        <v>427</v>
      </c>
      <c r="O40" s="81">
        <v>1.1000000000000001</v>
      </c>
      <c r="P40" s="81">
        <f>O40*$Q$4</f>
        <v>55.308000000000007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6">
        <f t="shared" si="19"/>
        <v>-8.1756973388906723E-2</v>
      </c>
      <c r="I41" s="10"/>
      <c r="J41" s="39">
        <v>648</v>
      </c>
      <c r="O41" s="81">
        <v>1.0900000000000001</v>
      </c>
      <c r="P41" s="81">
        <f t="shared" ref="P41:P60" si="20">O41*$Q$4</f>
        <v>54.805200000000006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6">
        <f t="shared" si="19"/>
        <v>-0.10355883295928182</v>
      </c>
      <c r="I42" s="10"/>
      <c r="J42" s="39">
        <v>512</v>
      </c>
      <c r="O42" s="81">
        <v>1.08</v>
      </c>
      <c r="P42" s="81">
        <f t="shared" si="20"/>
        <v>54.302400000000006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6">
        <f t="shared" si="19"/>
        <v>-0.10932129136617914</v>
      </c>
      <c r="I43" s="10"/>
      <c r="J43" s="39">
        <v>185</v>
      </c>
      <c r="O43" s="81">
        <v>1.07</v>
      </c>
      <c r="P43" s="81">
        <f t="shared" si="20"/>
        <v>53.799600000000005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6">
        <f t="shared" si="19"/>
        <v>-0.16832288640880597</v>
      </c>
      <c r="I44" s="10"/>
      <c r="J44" s="39">
        <v>-328</v>
      </c>
      <c r="O44" s="81">
        <v>1.06</v>
      </c>
      <c r="P44" s="81">
        <f t="shared" si="20"/>
        <v>53.296800000000005</v>
      </c>
      <c r="Q44" s="2"/>
    </row>
    <row r="45" spans="1:17" x14ac:dyDescent="0.25">
      <c r="A45">
        <v>50</v>
      </c>
      <c r="B45" s="188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6">
        <f t="shared" si="19"/>
        <v>-0.13335501881990439</v>
      </c>
      <c r="I45" s="10"/>
      <c r="J45" s="39">
        <v>-334</v>
      </c>
      <c r="O45" s="81">
        <v>1.05</v>
      </c>
      <c r="P45" s="81">
        <f t="shared" si="20"/>
        <v>52.794000000000004</v>
      </c>
      <c r="Q45" s="2"/>
    </row>
    <row r="46" spans="1:17" x14ac:dyDescent="0.25">
      <c r="A46">
        <v>0</v>
      </c>
      <c r="B46" s="188">
        <v>43145</v>
      </c>
      <c r="C46" s="7">
        <v>150</v>
      </c>
      <c r="D46" s="43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6">
        <f t="shared" si="19"/>
        <v>-0.10779111979893888</v>
      </c>
      <c r="I46" s="10"/>
      <c r="J46" s="39">
        <v>234</v>
      </c>
      <c r="O46" s="81">
        <v>1.04</v>
      </c>
      <c r="P46" s="81">
        <f t="shared" si="20"/>
        <v>52.291200000000003</v>
      </c>
      <c r="Q46" s="2"/>
    </row>
    <row r="47" spans="1:17" x14ac:dyDescent="0.25">
      <c r="B47" s="188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6">
        <f t="shared" si="19"/>
        <v>-0.1000719942404608</v>
      </c>
      <c r="I47" s="10"/>
      <c r="J47" s="39">
        <v>46</v>
      </c>
      <c r="O47" s="81">
        <v>1.03</v>
      </c>
      <c r="P47" s="81">
        <f t="shared" si="20"/>
        <v>51.788400000000003</v>
      </c>
      <c r="Q47" s="2"/>
    </row>
    <row r="48" spans="1:17" x14ac:dyDescent="0.25">
      <c r="A48">
        <v>0</v>
      </c>
      <c r="B48" s="188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6">
        <f t="shared" si="19"/>
        <v>-9.0999458796761565E-2</v>
      </c>
      <c r="I48" s="10"/>
      <c r="J48" s="39">
        <v>-78</v>
      </c>
      <c r="O48" s="81">
        <v>1.02</v>
      </c>
      <c r="P48" s="81">
        <f t="shared" si="20"/>
        <v>51.285600000000002</v>
      </c>
      <c r="Q48" s="2"/>
    </row>
    <row r="49" spans="1:17" x14ac:dyDescent="0.25">
      <c r="A49">
        <v>0</v>
      </c>
      <c r="B49" s="188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6">
        <f t="shared" si="19"/>
        <v>-4.9732197255590159E-2</v>
      </c>
      <c r="I49" s="10"/>
      <c r="J49" s="39">
        <v>611</v>
      </c>
      <c r="O49" s="81">
        <v>1.01</v>
      </c>
      <c r="P49" s="81">
        <f t="shared" si="20"/>
        <v>50.782800000000002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20"/>
        <v>50.28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20"/>
        <v>49.777200000000001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20"/>
        <v>49.2744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20"/>
        <v>48.771599999999999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20"/>
        <v>48.268799999999999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20"/>
        <v>47.765999999999998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20"/>
        <v>47.263199999999998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20"/>
        <v>46.760400000000004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20"/>
        <v>46.257600000000004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20"/>
        <v>45.754800000000003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20"/>
        <v>45.252000000000002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69">
        <v>42516</v>
      </c>
      <c r="C75" s="370">
        <v>20</v>
      </c>
      <c r="D75" s="371">
        <v>96.2</v>
      </c>
      <c r="E75" s="371">
        <v>97</v>
      </c>
      <c r="F75" s="371">
        <f t="shared" ref="F75:F83" si="21">C75*(E75-D75)</f>
        <v>15.999999999999943</v>
      </c>
      <c r="G75" s="371">
        <f t="shared" ref="G75:G83" si="22">D75*C75</f>
        <v>1924</v>
      </c>
      <c r="H75" s="372">
        <f t="shared" ref="H75:H83" si="23">(E75-D75)/D75</f>
        <v>8.316008316008287E-3</v>
      </c>
      <c r="I75" s="372"/>
    </row>
    <row r="76" spans="2:10" x14ac:dyDescent="0.25">
      <c r="B76" s="369">
        <v>42522</v>
      </c>
      <c r="C76" s="370">
        <v>20</v>
      </c>
      <c r="D76" s="371">
        <v>96.2</v>
      </c>
      <c r="E76" s="371">
        <v>98.73</v>
      </c>
      <c r="F76" s="371">
        <f t="shared" si="21"/>
        <v>50.600000000000023</v>
      </c>
      <c r="G76" s="371">
        <f t="shared" si="22"/>
        <v>1924</v>
      </c>
      <c r="H76" s="372">
        <f t="shared" si="23"/>
        <v>2.6299376299376311E-2</v>
      </c>
      <c r="I76" s="372"/>
    </row>
    <row r="77" spans="2:10" x14ac:dyDescent="0.25">
      <c r="B77" s="369">
        <v>42527</v>
      </c>
      <c r="C77" s="370">
        <v>45</v>
      </c>
      <c r="D77" s="371">
        <v>90.305599999999998</v>
      </c>
      <c r="E77" s="371">
        <v>86.39</v>
      </c>
      <c r="F77" s="371">
        <f t="shared" si="21"/>
        <v>-176.20199999999988</v>
      </c>
      <c r="G77" s="371">
        <f t="shared" si="22"/>
        <v>4063.752</v>
      </c>
      <c r="H77" s="372">
        <f t="shared" si="23"/>
        <v>-4.3359437288495929E-2</v>
      </c>
      <c r="I77" s="373"/>
    </row>
    <row r="78" spans="2:10" x14ac:dyDescent="0.25">
      <c r="B78" s="369">
        <v>42529</v>
      </c>
      <c r="C78" s="370">
        <v>25</v>
      </c>
      <c r="D78" s="371">
        <v>91.3596</v>
      </c>
      <c r="E78" s="371">
        <v>89.31</v>
      </c>
      <c r="F78" s="371">
        <f t="shared" si="21"/>
        <v>-51.239999999999952</v>
      </c>
      <c r="G78" s="371">
        <f t="shared" si="22"/>
        <v>2283.9899999999998</v>
      </c>
      <c r="H78" s="372">
        <f t="shared" si="23"/>
        <v>-2.2434423968581276E-2</v>
      </c>
      <c r="I78" s="372"/>
    </row>
    <row r="79" spans="2:10" x14ac:dyDescent="0.25">
      <c r="B79" s="369">
        <v>42534</v>
      </c>
      <c r="C79" s="370">
        <v>25</v>
      </c>
      <c r="D79" s="371">
        <v>91.3596</v>
      </c>
      <c r="E79" s="371">
        <v>85.51</v>
      </c>
      <c r="F79" s="371">
        <f t="shared" si="21"/>
        <v>-146.2399999999999</v>
      </c>
      <c r="G79" s="371">
        <f t="shared" si="22"/>
        <v>2283.9899999999998</v>
      </c>
      <c r="H79" s="372">
        <f t="shared" si="23"/>
        <v>-6.402830134983073E-2</v>
      </c>
      <c r="I79" s="372"/>
    </row>
    <row r="80" spans="2:10" x14ac:dyDescent="0.25">
      <c r="B80" s="369">
        <v>42535</v>
      </c>
      <c r="C80" s="370">
        <v>50</v>
      </c>
      <c r="D80" s="371">
        <v>87.0548</v>
      </c>
      <c r="E80" s="371">
        <v>83.87</v>
      </c>
      <c r="F80" s="371">
        <f t="shared" si="21"/>
        <v>-159.23999999999978</v>
      </c>
      <c r="G80" s="371">
        <f t="shared" si="22"/>
        <v>4352.74</v>
      </c>
      <c r="H80" s="372">
        <f t="shared" si="23"/>
        <v>-3.6583852929419118E-2</v>
      </c>
      <c r="I80" s="372"/>
    </row>
    <row r="81" spans="2:9" x14ac:dyDescent="0.25">
      <c r="B81" s="369">
        <v>42541</v>
      </c>
      <c r="C81" s="370">
        <v>25</v>
      </c>
      <c r="D81" s="371">
        <v>87.521600000000007</v>
      </c>
      <c r="E81" s="371">
        <v>86.01</v>
      </c>
      <c r="F81" s="371">
        <f t="shared" si="21"/>
        <v>-37.790000000000035</v>
      </c>
      <c r="G81" s="371">
        <f t="shared" si="22"/>
        <v>2188.04</v>
      </c>
      <c r="H81" s="372">
        <f t="shared" si="23"/>
        <v>-1.7271165060967823E-2</v>
      </c>
      <c r="I81" s="372"/>
    </row>
    <row r="82" spans="2:9" x14ac:dyDescent="0.25">
      <c r="B82" s="369">
        <v>42546</v>
      </c>
      <c r="C82" s="370">
        <v>25</v>
      </c>
      <c r="D82" s="371">
        <v>87.521600000000007</v>
      </c>
      <c r="E82" s="371">
        <v>82.02</v>
      </c>
      <c r="F82" s="371">
        <f t="shared" si="21"/>
        <v>-137.54000000000025</v>
      </c>
      <c r="G82" s="371">
        <f t="shared" si="22"/>
        <v>2188.04</v>
      </c>
      <c r="H82" s="372">
        <f t="shared" si="23"/>
        <v>-6.285991115336112E-2</v>
      </c>
      <c r="I82" s="372"/>
    </row>
    <row r="83" spans="2:9" x14ac:dyDescent="0.25">
      <c r="B83" s="369">
        <v>42548</v>
      </c>
      <c r="C83" s="370">
        <v>75</v>
      </c>
      <c r="D83" s="371">
        <v>81.493899999999996</v>
      </c>
      <c r="E83" s="371">
        <v>79.260000000000005</v>
      </c>
      <c r="F83" s="371">
        <f t="shared" si="21"/>
        <v>-167.54249999999934</v>
      </c>
      <c r="G83" s="371">
        <f t="shared" si="22"/>
        <v>6112.0424999999996</v>
      </c>
      <c r="H83" s="372">
        <f t="shared" si="23"/>
        <v>-2.7411867636718715E-2</v>
      </c>
      <c r="I83" s="372"/>
    </row>
    <row r="84" spans="2:9" x14ac:dyDescent="0.25">
      <c r="B84" s="369">
        <v>42549</v>
      </c>
      <c r="C84" s="370">
        <v>75</v>
      </c>
      <c r="D84" s="371">
        <v>81.493899999999996</v>
      </c>
      <c r="E84" s="371">
        <v>80.72</v>
      </c>
      <c r="F84" s="371">
        <f t="shared" ref="F84:F96" si="24">C84*(E84-D84)</f>
        <v>-58.042499999999819</v>
      </c>
      <c r="G84" s="371">
        <f t="shared" ref="G84:G96" si="25">D84*C84</f>
        <v>6112.0424999999996</v>
      </c>
      <c r="H84" s="372">
        <f t="shared" ref="H84:H96" si="26">(E84-D84)/D84</f>
        <v>-9.4964162961890114E-3</v>
      </c>
      <c r="I84" s="372"/>
    </row>
    <row r="85" spans="2:9" x14ac:dyDescent="0.25">
      <c r="B85" s="369">
        <v>42552</v>
      </c>
      <c r="C85" s="370">
        <v>55</v>
      </c>
      <c r="D85" s="371">
        <v>80.590500000000006</v>
      </c>
      <c r="E85" s="371">
        <v>84.15</v>
      </c>
      <c r="F85" s="371">
        <f t="shared" si="24"/>
        <v>195.77249999999998</v>
      </c>
      <c r="G85" s="371">
        <f t="shared" si="25"/>
        <v>4432.4775</v>
      </c>
      <c r="H85" s="372">
        <f t="shared" si="26"/>
        <v>4.4167736892065435E-2</v>
      </c>
      <c r="I85" s="372"/>
    </row>
    <row r="86" spans="2:9" x14ac:dyDescent="0.25">
      <c r="B86" s="369">
        <v>42556</v>
      </c>
      <c r="C86" s="370">
        <v>55</v>
      </c>
      <c r="D86" s="371">
        <v>80.590500000000006</v>
      </c>
      <c r="E86" s="371">
        <v>81.290000000000006</v>
      </c>
      <c r="F86" s="371">
        <f t="shared" si="24"/>
        <v>38.472500000000025</v>
      </c>
      <c r="G86" s="371">
        <f t="shared" si="25"/>
        <v>4432.4775</v>
      </c>
      <c r="H86" s="372">
        <f t="shared" si="26"/>
        <v>8.6796830891978632E-3</v>
      </c>
      <c r="I86" s="372"/>
    </row>
    <row r="87" spans="2:9" x14ac:dyDescent="0.25">
      <c r="B87" s="369">
        <v>42563</v>
      </c>
      <c r="C87" s="370">
        <v>55</v>
      </c>
      <c r="D87" s="371">
        <v>80.590500000000006</v>
      </c>
      <c r="E87" s="371">
        <v>89.07</v>
      </c>
      <c r="F87" s="371">
        <f t="shared" si="24"/>
        <v>466.37249999999932</v>
      </c>
      <c r="G87" s="371">
        <f t="shared" si="25"/>
        <v>4432.4775</v>
      </c>
      <c r="H87" s="372">
        <f t="shared" si="26"/>
        <v>0.10521711616133399</v>
      </c>
      <c r="I87" s="372"/>
    </row>
    <row r="88" spans="2:9" x14ac:dyDescent="0.25">
      <c r="B88" s="369">
        <v>42566</v>
      </c>
      <c r="C88" s="370">
        <v>55</v>
      </c>
      <c r="D88" s="371">
        <v>80.590500000000006</v>
      </c>
      <c r="E88" s="371">
        <v>90.34</v>
      </c>
      <c r="F88" s="371">
        <f t="shared" si="24"/>
        <v>536.22249999999985</v>
      </c>
      <c r="G88" s="371">
        <f t="shared" si="25"/>
        <v>4432.4775</v>
      </c>
      <c r="H88" s="372">
        <f t="shared" si="26"/>
        <v>0.12097579739547462</v>
      </c>
      <c r="I88" s="372"/>
    </row>
    <row r="89" spans="2:9" x14ac:dyDescent="0.25">
      <c r="B89" s="369">
        <v>42569</v>
      </c>
      <c r="C89" s="370">
        <v>50</v>
      </c>
      <c r="D89" s="371">
        <v>79.449799999999996</v>
      </c>
      <c r="E89" s="371">
        <v>92.26</v>
      </c>
      <c r="F89" s="371">
        <f t="shared" si="24"/>
        <v>640.51000000000045</v>
      </c>
      <c r="G89" s="371">
        <f t="shared" si="25"/>
        <v>3972.49</v>
      </c>
      <c r="H89" s="372">
        <f t="shared" si="26"/>
        <v>0.16123640336413697</v>
      </c>
      <c r="I89" s="372"/>
    </row>
    <row r="90" spans="2:9" x14ac:dyDescent="0.25">
      <c r="B90" s="369">
        <v>42570</v>
      </c>
      <c r="C90" s="370">
        <v>50</v>
      </c>
      <c r="D90" s="371">
        <v>79.449799999999996</v>
      </c>
      <c r="E90" s="371">
        <v>90.39</v>
      </c>
      <c r="F90" s="371">
        <f t="shared" si="24"/>
        <v>547.01000000000022</v>
      </c>
      <c r="G90" s="371">
        <f t="shared" si="25"/>
        <v>3972.49</v>
      </c>
      <c r="H90" s="372">
        <f t="shared" si="26"/>
        <v>0.13769952850730907</v>
      </c>
      <c r="I90" s="372"/>
    </row>
    <row r="91" spans="2:9" x14ac:dyDescent="0.25">
      <c r="B91" s="369">
        <v>42571</v>
      </c>
      <c r="C91" s="370">
        <v>50</v>
      </c>
      <c r="D91" s="371">
        <v>79.449799999999996</v>
      </c>
      <c r="E91" s="371">
        <v>89.55</v>
      </c>
      <c r="F91" s="371">
        <f t="shared" si="24"/>
        <v>505.01000000000005</v>
      </c>
      <c r="G91" s="371">
        <f t="shared" si="25"/>
        <v>3972.49</v>
      </c>
      <c r="H91" s="372">
        <f t="shared" si="26"/>
        <v>0.12712681466787834</v>
      </c>
      <c r="I91" s="372"/>
    </row>
    <row r="92" spans="2:9" x14ac:dyDescent="0.25">
      <c r="B92" s="369">
        <v>42572</v>
      </c>
      <c r="C92" s="370">
        <v>50</v>
      </c>
      <c r="D92" s="371">
        <v>79.449799999999996</v>
      </c>
      <c r="E92" s="371">
        <v>87.46</v>
      </c>
      <c r="F92" s="371">
        <f t="shared" si="24"/>
        <v>400.50999999999988</v>
      </c>
      <c r="G92" s="371">
        <f t="shared" si="25"/>
        <v>3972.49</v>
      </c>
      <c r="H92" s="372">
        <f t="shared" si="26"/>
        <v>0.1008208957102472</v>
      </c>
      <c r="I92" s="372"/>
    </row>
    <row r="93" spans="2:9" x14ac:dyDescent="0.25">
      <c r="B93" s="369">
        <v>42575</v>
      </c>
      <c r="C93" s="370">
        <v>50</v>
      </c>
      <c r="D93" s="371">
        <v>79.449799999999996</v>
      </c>
      <c r="E93" s="371">
        <v>89.53</v>
      </c>
      <c r="F93" s="371">
        <f t="shared" si="24"/>
        <v>504.01000000000022</v>
      </c>
      <c r="G93" s="371">
        <f t="shared" si="25"/>
        <v>3972.49</v>
      </c>
      <c r="H93" s="372">
        <f t="shared" si="26"/>
        <v>0.12687508338598719</v>
      </c>
      <c r="I93" s="372"/>
    </row>
    <row r="94" spans="2:9" x14ac:dyDescent="0.25">
      <c r="B94" s="369">
        <v>42576</v>
      </c>
      <c r="C94" s="370">
        <v>50</v>
      </c>
      <c r="D94" s="371">
        <v>79.449799999999996</v>
      </c>
      <c r="E94" s="371">
        <v>88.86</v>
      </c>
      <c r="F94" s="371">
        <f t="shared" si="24"/>
        <v>470.51000000000016</v>
      </c>
      <c r="G94" s="371">
        <f t="shared" si="25"/>
        <v>3972.49</v>
      </c>
      <c r="H94" s="372">
        <f t="shared" si="26"/>
        <v>0.11844208544263174</v>
      </c>
      <c r="I94" s="372"/>
    </row>
    <row r="95" spans="2:9" x14ac:dyDescent="0.25">
      <c r="B95" s="369">
        <v>42577</v>
      </c>
      <c r="C95" s="370">
        <v>50</v>
      </c>
      <c r="D95" s="371">
        <v>79.449799999999996</v>
      </c>
      <c r="E95" s="371">
        <v>89.46</v>
      </c>
      <c r="F95" s="371">
        <f t="shared" si="24"/>
        <v>500.50999999999988</v>
      </c>
      <c r="G95" s="371">
        <f t="shared" si="25"/>
        <v>3972.49</v>
      </c>
      <c r="H95" s="372">
        <f t="shared" si="26"/>
        <v>0.12599402389936787</v>
      </c>
      <c r="I95" s="372"/>
    </row>
    <row r="96" spans="2:9" x14ac:dyDescent="0.25">
      <c r="B96" s="369">
        <v>42580</v>
      </c>
      <c r="C96" s="370">
        <v>30</v>
      </c>
      <c r="D96" s="371">
        <v>73.937700000000007</v>
      </c>
      <c r="E96" s="371">
        <v>87.72</v>
      </c>
      <c r="F96" s="371">
        <f t="shared" si="24"/>
        <v>413.46899999999977</v>
      </c>
      <c r="G96" s="371">
        <f t="shared" si="25"/>
        <v>2218.1310000000003</v>
      </c>
      <c r="H96" s="372">
        <f t="shared" si="26"/>
        <v>0.18640422950673324</v>
      </c>
      <c r="I96" s="372"/>
    </row>
    <row r="97" spans="2:9" x14ac:dyDescent="0.25">
      <c r="B97" s="369">
        <v>42580</v>
      </c>
      <c r="C97" s="370">
        <v>0</v>
      </c>
      <c r="D97" s="371"/>
      <c r="E97" s="371"/>
      <c r="F97" s="371">
        <v>420.99</v>
      </c>
      <c r="G97" s="371"/>
      <c r="H97" s="372"/>
      <c r="I97" s="372"/>
    </row>
    <row r="98" spans="2:9" x14ac:dyDescent="0.25">
      <c r="B98" s="370"/>
      <c r="C98" s="370"/>
      <c r="D98" s="371"/>
      <c r="E98" s="371"/>
      <c r="F98" s="371"/>
      <c r="G98" s="370"/>
      <c r="H98" s="370"/>
      <c r="I98" s="370"/>
    </row>
    <row r="99" spans="2:9" x14ac:dyDescent="0.25">
      <c r="B99" s="497" t="s">
        <v>113</v>
      </c>
      <c r="C99" s="497" t="s">
        <v>146</v>
      </c>
      <c r="D99" s="498" t="s">
        <v>145</v>
      </c>
      <c r="E99" s="499" t="s">
        <v>147</v>
      </c>
      <c r="F99" s="500" t="s">
        <v>65</v>
      </c>
      <c r="G99" s="501" t="s">
        <v>151</v>
      </c>
      <c r="H99" s="500" t="s">
        <v>88</v>
      </c>
      <c r="I99" s="500" t="s">
        <v>154</v>
      </c>
    </row>
    <row r="100" spans="2:9" x14ac:dyDescent="0.25">
      <c r="B100" s="369">
        <v>42608</v>
      </c>
      <c r="C100" s="370">
        <v>25</v>
      </c>
      <c r="D100" s="371">
        <v>78.95</v>
      </c>
      <c r="E100" s="371">
        <v>80.650000000000006</v>
      </c>
      <c r="F100" s="371">
        <f t="shared" ref="F100:F116" si="27">C100*(E100-D100)</f>
        <v>42.500000000000071</v>
      </c>
      <c r="G100" s="371">
        <f t="shared" ref="G100:G116" si="28">D100*C100</f>
        <v>1973.75</v>
      </c>
      <c r="H100" s="372">
        <f t="shared" ref="H100:H116" si="29">(E100-D100)/D100</f>
        <v>2.1532615579480718E-2</v>
      </c>
      <c r="I100" s="372"/>
    </row>
    <row r="101" spans="2:9" x14ac:dyDescent="0.25">
      <c r="B101" s="369">
        <v>42609</v>
      </c>
      <c r="C101" s="370">
        <v>25</v>
      </c>
      <c r="D101" s="371">
        <v>78.95</v>
      </c>
      <c r="E101" s="371">
        <v>80.180000000000007</v>
      </c>
      <c r="F101" s="371">
        <f t="shared" si="27"/>
        <v>30.750000000000099</v>
      </c>
      <c r="G101" s="371">
        <f t="shared" si="28"/>
        <v>1973.75</v>
      </c>
      <c r="H101" s="372">
        <f t="shared" si="29"/>
        <v>1.5579480683977251E-2</v>
      </c>
      <c r="I101" s="372"/>
    </row>
    <row r="102" spans="2:9" x14ac:dyDescent="0.25">
      <c r="B102" s="369">
        <v>42613</v>
      </c>
      <c r="C102" s="370">
        <v>25</v>
      </c>
      <c r="D102" s="371">
        <v>78.95</v>
      </c>
      <c r="E102" s="371">
        <v>81.98</v>
      </c>
      <c r="F102" s="371">
        <f t="shared" si="27"/>
        <v>75.750000000000028</v>
      </c>
      <c r="G102" s="371">
        <f t="shared" si="28"/>
        <v>1973.75</v>
      </c>
      <c r="H102" s="372">
        <f t="shared" si="29"/>
        <v>3.8378720709309699E-2</v>
      </c>
      <c r="I102" s="372"/>
    </row>
    <row r="103" spans="2:9" x14ac:dyDescent="0.25">
      <c r="B103" s="369">
        <v>42619</v>
      </c>
      <c r="C103" s="370">
        <v>25</v>
      </c>
      <c r="D103" s="371">
        <v>78.95</v>
      </c>
      <c r="E103" s="371">
        <v>81.099999999999994</v>
      </c>
      <c r="F103" s="371">
        <f t="shared" si="27"/>
        <v>53.749999999999787</v>
      </c>
      <c r="G103" s="371">
        <f t="shared" si="28"/>
        <v>1973.75</v>
      </c>
      <c r="H103" s="372">
        <f t="shared" si="29"/>
        <v>2.7232425585813697E-2</v>
      </c>
      <c r="I103" s="372"/>
    </row>
    <row r="104" spans="2:9" x14ac:dyDescent="0.25">
      <c r="B104" s="369">
        <v>42620</v>
      </c>
      <c r="C104" s="370">
        <v>25</v>
      </c>
      <c r="D104" s="371">
        <v>78.95</v>
      </c>
      <c r="E104" s="371">
        <v>82.48</v>
      </c>
      <c r="F104" s="371">
        <f t="shared" si="27"/>
        <v>88.250000000000028</v>
      </c>
      <c r="G104" s="371">
        <f t="shared" si="28"/>
        <v>1973.75</v>
      </c>
      <c r="H104" s="372">
        <f t="shared" si="29"/>
        <v>4.4711842938568724E-2</v>
      </c>
      <c r="I104" s="372"/>
    </row>
    <row r="105" spans="2:9" x14ac:dyDescent="0.25">
      <c r="B105" s="369">
        <v>42621</v>
      </c>
      <c r="C105" s="370">
        <v>25</v>
      </c>
      <c r="D105" s="371">
        <v>78.95</v>
      </c>
      <c r="E105" s="371">
        <v>81.77</v>
      </c>
      <c r="F105" s="371">
        <f t="shared" si="27"/>
        <v>70.499999999999829</v>
      </c>
      <c r="G105" s="371">
        <f t="shared" si="28"/>
        <v>1973.75</v>
      </c>
      <c r="H105" s="372">
        <f t="shared" si="29"/>
        <v>3.5718809373020813E-2</v>
      </c>
      <c r="I105" s="372"/>
    </row>
    <row r="106" spans="2:9" x14ac:dyDescent="0.25">
      <c r="B106" s="369">
        <v>42622</v>
      </c>
      <c r="C106" s="370">
        <v>25</v>
      </c>
      <c r="D106" s="371">
        <v>78.95</v>
      </c>
      <c r="E106" s="371">
        <v>76.900000000000006</v>
      </c>
      <c r="F106" s="371">
        <f t="shared" si="27"/>
        <v>-51.249999999999929</v>
      </c>
      <c r="G106" s="371">
        <f t="shared" si="28"/>
        <v>1973.75</v>
      </c>
      <c r="H106" s="372">
        <f t="shared" si="29"/>
        <v>-2.5965801139961966E-2</v>
      </c>
      <c r="I106" s="372"/>
    </row>
    <row r="107" spans="2:9" x14ac:dyDescent="0.25">
      <c r="B107" s="369">
        <v>42629</v>
      </c>
      <c r="C107" s="370">
        <v>25</v>
      </c>
      <c r="D107" s="371">
        <v>78.95</v>
      </c>
      <c r="E107" s="371">
        <v>77.77</v>
      </c>
      <c r="F107" s="371">
        <f t="shared" si="27"/>
        <v>-29.500000000000171</v>
      </c>
      <c r="G107" s="371">
        <f t="shared" si="28"/>
        <v>1973.75</v>
      </c>
      <c r="H107" s="372">
        <f t="shared" si="29"/>
        <v>-1.4946168461051384E-2</v>
      </c>
      <c r="I107" s="372"/>
    </row>
    <row r="108" spans="2:9" x14ac:dyDescent="0.25">
      <c r="B108" s="369">
        <v>42633</v>
      </c>
      <c r="C108" s="370">
        <v>25</v>
      </c>
      <c r="D108" s="371">
        <v>78.95</v>
      </c>
      <c r="E108" s="371">
        <v>75.52</v>
      </c>
      <c r="F108" s="371">
        <f t="shared" si="27"/>
        <v>-85.750000000000171</v>
      </c>
      <c r="G108" s="371">
        <f t="shared" si="28"/>
        <v>1973.75</v>
      </c>
      <c r="H108" s="372">
        <f t="shared" si="29"/>
        <v>-4.3445218492716993E-2</v>
      </c>
      <c r="I108" s="372"/>
    </row>
    <row r="109" spans="2:9" x14ac:dyDescent="0.25">
      <c r="B109" s="369">
        <v>42635</v>
      </c>
      <c r="C109" s="370">
        <v>25</v>
      </c>
      <c r="D109" s="371">
        <v>78.95</v>
      </c>
      <c r="E109" s="371">
        <v>77.27</v>
      </c>
      <c r="F109" s="371">
        <f t="shared" si="27"/>
        <v>-42.000000000000171</v>
      </c>
      <c r="G109" s="371">
        <f t="shared" si="28"/>
        <v>1973.75</v>
      </c>
      <c r="H109" s="372">
        <f t="shared" si="29"/>
        <v>-2.1279290690310409E-2</v>
      </c>
      <c r="I109" s="372"/>
    </row>
    <row r="110" spans="2:9" x14ac:dyDescent="0.25">
      <c r="B110" s="369">
        <v>42636</v>
      </c>
      <c r="C110" s="370">
        <v>25</v>
      </c>
      <c r="D110" s="371">
        <v>78.95</v>
      </c>
      <c r="E110" s="371">
        <v>78.97</v>
      </c>
      <c r="F110" s="371">
        <f t="shared" si="27"/>
        <v>0.49999999999990052</v>
      </c>
      <c r="G110" s="371">
        <f t="shared" si="28"/>
        <v>1973.75</v>
      </c>
      <c r="H110" s="372">
        <f t="shared" si="29"/>
        <v>2.533248891703106E-4</v>
      </c>
      <c r="I110" s="372"/>
    </row>
    <row r="111" spans="2:9" x14ac:dyDescent="0.25">
      <c r="B111" s="369">
        <v>42639</v>
      </c>
      <c r="C111" s="370">
        <v>55</v>
      </c>
      <c r="D111" s="371">
        <v>76.400000000000006</v>
      </c>
      <c r="E111" s="371">
        <v>76.31</v>
      </c>
      <c r="F111" s="371">
        <f t="shared" si="27"/>
        <v>-4.9500000000001876</v>
      </c>
      <c r="G111" s="371">
        <f t="shared" si="28"/>
        <v>4202</v>
      </c>
      <c r="H111" s="372">
        <f t="shared" si="29"/>
        <v>-1.1780104712042331E-3</v>
      </c>
      <c r="I111" s="372"/>
    </row>
    <row r="112" spans="2:9" x14ac:dyDescent="0.25">
      <c r="B112" s="369">
        <v>42643</v>
      </c>
      <c r="C112" s="370">
        <v>55</v>
      </c>
      <c r="D112" s="371">
        <v>76.402699999999996</v>
      </c>
      <c r="E112" s="371">
        <v>74.53</v>
      </c>
      <c r="F112" s="371">
        <f t="shared" si="27"/>
        <v>-102.99849999999971</v>
      </c>
      <c r="G112" s="371">
        <f t="shared" si="28"/>
        <v>4202.1484999999993</v>
      </c>
      <c r="H112" s="372">
        <f t="shared" si="29"/>
        <v>-2.4510913881315644E-2</v>
      </c>
      <c r="I112" s="372"/>
    </row>
    <row r="113" spans="1:10" x14ac:dyDescent="0.25">
      <c r="B113" s="369">
        <v>42646</v>
      </c>
      <c r="C113" s="370">
        <v>55</v>
      </c>
      <c r="D113" s="371">
        <v>76.402699999999996</v>
      </c>
      <c r="E113" s="371">
        <v>75.72</v>
      </c>
      <c r="F113" s="371">
        <f t="shared" si="27"/>
        <v>-37.548499999999834</v>
      </c>
      <c r="G113" s="371">
        <f t="shared" si="28"/>
        <v>4202.1484999999993</v>
      </c>
      <c r="H113" s="372">
        <f t="shared" si="29"/>
        <v>-8.9355480892690572E-3</v>
      </c>
      <c r="I113" s="372"/>
    </row>
    <row r="114" spans="1:10" x14ac:dyDescent="0.25">
      <c r="B114" s="369">
        <v>42647</v>
      </c>
      <c r="C114" s="370">
        <v>55</v>
      </c>
      <c r="D114" s="371">
        <v>76.402699999999996</v>
      </c>
      <c r="E114" s="371">
        <v>77.819999999999993</v>
      </c>
      <c r="F114" s="371">
        <f t="shared" si="27"/>
        <v>77.951499999999854</v>
      </c>
      <c r="G114" s="371">
        <f t="shared" si="28"/>
        <v>4202.1484999999993</v>
      </c>
      <c r="H114" s="372">
        <f t="shared" si="29"/>
        <v>1.8550391543754308E-2</v>
      </c>
      <c r="I114" s="372"/>
    </row>
    <row r="115" spans="1:10" x14ac:dyDescent="0.25">
      <c r="B115" s="369">
        <v>42648</v>
      </c>
      <c r="C115" s="370">
        <v>30</v>
      </c>
      <c r="D115" s="371">
        <v>74.272999999999996</v>
      </c>
      <c r="E115" s="371">
        <v>81.430000000000007</v>
      </c>
      <c r="F115" s="371">
        <f t="shared" si="27"/>
        <v>214.71000000000032</v>
      </c>
      <c r="G115" s="371">
        <f t="shared" si="28"/>
        <v>2228.19</v>
      </c>
      <c r="H115" s="372">
        <f t="shared" si="29"/>
        <v>9.6360723277638047E-2</v>
      </c>
      <c r="I115" s="372"/>
    </row>
    <row r="116" spans="1:10" x14ac:dyDescent="0.25">
      <c r="B116" s="369">
        <v>42649</v>
      </c>
      <c r="C116" s="370">
        <v>30</v>
      </c>
      <c r="D116" s="371">
        <v>74.272999999999996</v>
      </c>
      <c r="E116" s="371">
        <v>80.069999999999993</v>
      </c>
      <c r="F116" s="371">
        <f t="shared" si="27"/>
        <v>173.90999999999991</v>
      </c>
      <c r="G116" s="371">
        <f t="shared" si="28"/>
        <v>2228.19</v>
      </c>
      <c r="H116" s="372">
        <f t="shared" si="29"/>
        <v>7.8049897001602156E-2</v>
      </c>
      <c r="I116" s="372"/>
    </row>
    <row r="117" spans="1:10" x14ac:dyDescent="0.25">
      <c r="B117" s="369">
        <v>42671</v>
      </c>
      <c r="C117" s="370">
        <v>0</v>
      </c>
      <c r="D117" s="371"/>
      <c r="E117" s="371"/>
      <c r="F117" s="371">
        <v>234.16</v>
      </c>
      <c r="G117" s="371"/>
      <c r="H117" s="372"/>
      <c r="I117" s="372"/>
    </row>
    <row r="118" spans="1:10" x14ac:dyDescent="0.25">
      <c r="B118" s="369"/>
      <c r="C118" s="370"/>
      <c r="D118" s="371"/>
      <c r="E118" s="371"/>
      <c r="F118" s="371"/>
      <c r="G118" s="371"/>
      <c r="H118" s="372"/>
      <c r="I118" s="372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30">C120*(E120-D120)</f>
        <v>86.700000000000017</v>
      </c>
      <c r="G120" s="39">
        <f t="shared" ref="G120:G150" si="31">D120*C120</f>
        <v>2454.3000000000002</v>
      </c>
      <c r="H120" s="226">
        <f t="shared" ref="H120:H150" si="32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30"/>
        <v>-15.500000000000114</v>
      </c>
      <c r="G121" s="39">
        <f t="shared" si="31"/>
        <v>4054.5</v>
      </c>
      <c r="H121" s="226">
        <f t="shared" si="32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30"/>
        <v>25.449999999999875</v>
      </c>
      <c r="G122" s="39">
        <f t="shared" si="31"/>
        <v>1606.55</v>
      </c>
      <c r="H122" s="226">
        <f t="shared" si="32"/>
        <v>1.5841399271731272E-2</v>
      </c>
      <c r="I122" s="10"/>
      <c r="J122" s="10"/>
    </row>
    <row r="123" spans="1:10" x14ac:dyDescent="0.25">
      <c r="A123" t="s">
        <v>353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30"/>
        <v>5.5499999999994998</v>
      </c>
      <c r="G123" s="39">
        <f t="shared" si="31"/>
        <v>4032.9500000000003</v>
      </c>
      <c r="H123" s="226">
        <f t="shared" si="32"/>
        <v>1.3761638502831674E-3</v>
      </c>
      <c r="I123" s="10"/>
      <c r="J123" s="10"/>
    </row>
    <row r="124" spans="1:10" x14ac:dyDescent="0.25">
      <c r="A124" t="s">
        <v>353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30"/>
        <v>116.0499999999999</v>
      </c>
      <c r="G124" s="39">
        <f t="shared" si="31"/>
        <v>4032.9500000000003</v>
      </c>
      <c r="H124" s="226">
        <f t="shared" si="32"/>
        <v>2.8775462130698346E-2</v>
      </c>
      <c r="I124" s="10"/>
      <c r="J124" s="10"/>
    </row>
    <row r="125" spans="1:10" x14ac:dyDescent="0.25">
      <c r="A125" t="s">
        <v>391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30"/>
        <v>-132.6975000000001</v>
      </c>
      <c r="G125" s="39">
        <f t="shared" si="31"/>
        <v>5957.9475000000002</v>
      </c>
      <c r="H125" s="226">
        <f t="shared" si="32"/>
        <v>-2.2272351342471561E-2</v>
      </c>
      <c r="I125" s="10"/>
      <c r="J125" s="10"/>
    </row>
    <row r="126" spans="1:10" x14ac:dyDescent="0.25">
      <c r="A126" t="s">
        <v>348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30"/>
        <v>-433.19999999999936</v>
      </c>
      <c r="G126" s="39">
        <f t="shared" si="31"/>
        <v>7839.2</v>
      </c>
      <c r="H126" s="226">
        <f t="shared" si="32"/>
        <v>-5.5260740891927666E-2</v>
      </c>
      <c r="I126" s="10"/>
      <c r="J126" s="10"/>
    </row>
    <row r="127" spans="1:10" x14ac:dyDescent="0.25">
      <c r="A127" t="s">
        <v>415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30"/>
        <v>-672.44999999999959</v>
      </c>
      <c r="G127" s="39">
        <f t="shared" si="31"/>
        <v>9666.2000000000007</v>
      </c>
      <c r="H127" s="226">
        <f t="shared" si="32"/>
        <v>-6.9567151517659423E-2</v>
      </c>
      <c r="I127" s="10"/>
      <c r="J127" s="10"/>
    </row>
    <row r="128" spans="1:10" x14ac:dyDescent="0.25">
      <c r="A128" t="s">
        <v>456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30"/>
        <v>-464.95</v>
      </c>
      <c r="G128" s="39">
        <f t="shared" si="31"/>
        <v>9666.2000000000007</v>
      </c>
      <c r="H128" s="226">
        <f t="shared" si="32"/>
        <v>-4.8100597959901507E-2</v>
      </c>
      <c r="I128" s="10"/>
      <c r="J128" s="10"/>
    </row>
    <row r="129" spans="1:10" x14ac:dyDescent="0.25">
      <c r="A129" t="s">
        <v>478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30"/>
        <v>-2331.2099999999973</v>
      </c>
      <c r="G129" s="39">
        <f t="shared" si="31"/>
        <v>21408.21</v>
      </c>
      <c r="H129" s="226">
        <f t="shared" si="32"/>
        <v>-0.1088932703855202</v>
      </c>
      <c r="I129" s="10"/>
      <c r="J129" s="39"/>
    </row>
    <row r="130" spans="1:10" x14ac:dyDescent="0.25">
      <c r="A130" t="s">
        <v>478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30"/>
        <v>-1931.1900000000023</v>
      </c>
      <c r="G130" s="39">
        <f t="shared" si="31"/>
        <v>21395.190000000002</v>
      </c>
      <c r="H130" s="226">
        <f t="shared" si="32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30"/>
        <v>-1715.1900000000026</v>
      </c>
      <c r="G131" s="39">
        <f t="shared" si="31"/>
        <v>21395.190000000002</v>
      </c>
      <c r="H131" s="226">
        <f t="shared" si="32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30"/>
        <v>-433.36000000000183</v>
      </c>
      <c r="G132" s="39">
        <f t="shared" si="31"/>
        <v>14437.36</v>
      </c>
      <c r="H132" s="226">
        <f t="shared" si="32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30"/>
        <v>-406.13999999999851</v>
      </c>
      <c r="G133" s="39">
        <f t="shared" si="31"/>
        <v>12622.89</v>
      </c>
      <c r="H133" s="226">
        <f t="shared" si="32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30"/>
        <v>-753.90000000000157</v>
      </c>
      <c r="G134" s="39">
        <f t="shared" si="31"/>
        <v>14319.900000000001</v>
      </c>
      <c r="H134" s="226">
        <f t="shared" si="32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30"/>
        <v>-647.90000000000134</v>
      </c>
      <c r="G135" s="39">
        <f t="shared" si="31"/>
        <v>14319.900000000001</v>
      </c>
      <c r="H135" s="226">
        <f t="shared" si="32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30"/>
        <v>-387.90000000000191</v>
      </c>
      <c r="G136" s="39">
        <f t="shared" si="31"/>
        <v>14319.900000000001</v>
      </c>
      <c r="H136" s="226">
        <f t="shared" si="32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30"/>
        <v>-1317.9999999999977</v>
      </c>
      <c r="G137" s="39">
        <f t="shared" si="31"/>
        <v>14319.999999999998</v>
      </c>
      <c r="H137" s="226">
        <f t="shared" si="32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30"/>
        <v>-1793.9999999999991</v>
      </c>
      <c r="G138" s="39">
        <f t="shared" si="31"/>
        <v>20706</v>
      </c>
      <c r="H138" s="226">
        <f t="shared" si="32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30"/>
        <v>-2171.6799999999994</v>
      </c>
      <c r="G139" s="39">
        <f t="shared" si="31"/>
        <v>23759.68</v>
      </c>
      <c r="H139" s="226">
        <f t="shared" si="32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30"/>
        <v>-5398.6800000000021</v>
      </c>
      <c r="G140" s="39">
        <f t="shared" si="31"/>
        <v>26362.68</v>
      </c>
      <c r="H140" s="226">
        <f t="shared" si="32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30"/>
        <v>-3573.2549999999997</v>
      </c>
      <c r="G141" s="39">
        <f t="shared" si="31"/>
        <v>23512.755000000001</v>
      </c>
      <c r="H141" s="226">
        <f t="shared" si="32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30"/>
        <v>-1277.4999999999982</v>
      </c>
      <c r="G142" s="39">
        <f t="shared" si="31"/>
        <v>17087.5</v>
      </c>
      <c r="H142" s="226">
        <f t="shared" si="32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30"/>
        <v>-2386.8899999999976</v>
      </c>
      <c r="G143" s="39">
        <f t="shared" si="31"/>
        <v>20050.89</v>
      </c>
      <c r="H143" s="226">
        <f t="shared" si="32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30"/>
        <v>-3362.4150000000009</v>
      </c>
      <c r="G144" s="39">
        <f t="shared" si="31"/>
        <v>22839.915000000001</v>
      </c>
      <c r="H144" s="226">
        <f t="shared" si="32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30"/>
        <v>-790.99999999999932</v>
      </c>
      <c r="G145" s="39">
        <f t="shared" si="31"/>
        <v>22729</v>
      </c>
      <c r="H145" s="226">
        <f t="shared" si="32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30"/>
        <v>-712.59999999999798</v>
      </c>
      <c r="G146" s="39">
        <f t="shared" si="31"/>
        <v>22650.6</v>
      </c>
      <c r="H146" s="226">
        <f t="shared" si="32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30"/>
        <v>-124.59999999999809</v>
      </c>
      <c r="G147" s="39">
        <f t="shared" si="31"/>
        <v>22650.6</v>
      </c>
      <c r="H147" s="226">
        <f t="shared" si="32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30"/>
        <v>196.21999999999957</v>
      </c>
      <c r="G148" s="39">
        <f t="shared" si="31"/>
        <v>12843.78</v>
      </c>
      <c r="H148" s="226">
        <f t="shared" si="32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30"/>
        <v>457.99999999999983</v>
      </c>
      <c r="G149" s="39">
        <f t="shared" si="31"/>
        <v>6166</v>
      </c>
      <c r="H149" s="226">
        <f t="shared" si="32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30"/>
        <v>283.05999999999898</v>
      </c>
      <c r="G150" s="39">
        <f t="shared" si="31"/>
        <v>12698.94</v>
      </c>
      <c r="H150" s="226">
        <f t="shared" si="32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3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4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7">
        <v>42527</v>
      </c>
      <c r="C180" s="254">
        <v>25</v>
      </c>
      <c r="D180" s="255">
        <v>85.59</v>
      </c>
      <c r="E180" s="255">
        <v>0</v>
      </c>
      <c r="F180" s="255">
        <f t="shared" si="33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4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7">
        <v>42535</v>
      </c>
      <c r="C181" s="254">
        <v>20</v>
      </c>
      <c r="D181" s="255">
        <v>82.75</v>
      </c>
      <c r="E181" s="255">
        <v>0</v>
      </c>
      <c r="F181" s="255">
        <f t="shared" si="33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4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3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4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3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4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3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4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49">
        <v>42746</v>
      </c>
      <c r="C188" s="648">
        <v>30</v>
      </c>
      <c r="D188" s="650">
        <v>81.81</v>
      </c>
      <c r="E188" s="650">
        <v>0</v>
      </c>
      <c r="F188" s="650">
        <f t="shared" ref="F188:F203" si="35">C188*D188+E188</f>
        <v>2454.3000000000002</v>
      </c>
      <c r="G188" s="649">
        <v>42746</v>
      </c>
      <c r="H188" s="648">
        <v>30</v>
      </c>
      <c r="I188" s="650">
        <v>81.599999999999994</v>
      </c>
      <c r="J188" s="650">
        <v>0.05</v>
      </c>
      <c r="K188" s="650">
        <f t="shared" ref="K188:K196" si="36">H188*I188-J188</f>
        <v>2447.9499999999998</v>
      </c>
      <c r="L188" s="649">
        <v>42794</v>
      </c>
      <c r="M188" s="650">
        <v>13</v>
      </c>
    </row>
    <row r="189" spans="1:13" x14ac:dyDescent="0.25">
      <c r="A189" s="254"/>
      <c r="B189" s="739">
        <v>42748</v>
      </c>
      <c r="C189" s="648">
        <v>20</v>
      </c>
      <c r="D189" s="650">
        <v>80.010000000000005</v>
      </c>
      <c r="E189" s="650">
        <v>0</v>
      </c>
      <c r="F189" s="650">
        <f t="shared" si="35"/>
        <v>1600.2</v>
      </c>
      <c r="G189" s="649">
        <v>42803</v>
      </c>
      <c r="H189" s="740">
        <v>100</v>
      </c>
      <c r="I189" s="650">
        <v>69.58</v>
      </c>
      <c r="J189" s="650">
        <v>0.15</v>
      </c>
      <c r="K189" s="650">
        <f t="shared" si="36"/>
        <v>6957.85</v>
      </c>
      <c r="L189" s="649">
        <v>42887</v>
      </c>
      <c r="M189" s="650">
        <v>62</v>
      </c>
    </row>
    <row r="190" spans="1:13" x14ac:dyDescent="0.25">
      <c r="A190" s="254"/>
      <c r="B190" s="739">
        <v>42754</v>
      </c>
      <c r="C190" s="648">
        <v>30</v>
      </c>
      <c r="D190" s="650">
        <v>80.88</v>
      </c>
      <c r="E190" s="650">
        <v>0</v>
      </c>
      <c r="F190" s="650">
        <f t="shared" si="35"/>
        <v>2426.3999999999996</v>
      </c>
      <c r="G190" s="649">
        <v>42804</v>
      </c>
      <c r="H190" s="740">
        <v>25</v>
      </c>
      <c r="I190" s="650">
        <v>72.58</v>
      </c>
      <c r="J190" s="650">
        <v>0.04</v>
      </c>
      <c r="K190" s="650">
        <f t="shared" si="36"/>
        <v>1814.46</v>
      </c>
      <c r="L190" s="649">
        <v>42978</v>
      </c>
      <c r="M190" s="650">
        <v>77.5</v>
      </c>
    </row>
    <row r="191" spans="1:13" x14ac:dyDescent="0.25">
      <c r="A191" s="254"/>
      <c r="B191" s="649">
        <v>42766</v>
      </c>
      <c r="C191" s="648">
        <v>25</v>
      </c>
      <c r="D191" s="650">
        <v>77</v>
      </c>
      <c r="E191" s="650">
        <v>0</v>
      </c>
      <c r="F191" s="650">
        <f t="shared" si="35"/>
        <v>1925</v>
      </c>
      <c r="G191" s="649">
        <v>42894</v>
      </c>
      <c r="H191" s="740">
        <v>50</v>
      </c>
      <c r="I191" s="650">
        <v>57</v>
      </c>
      <c r="J191" s="650">
        <v>0.06</v>
      </c>
      <c r="K191" s="650">
        <f t="shared" si="36"/>
        <v>2849.94</v>
      </c>
      <c r="L191" s="648"/>
      <c r="M191" s="648"/>
    </row>
    <row r="192" spans="1:13" x14ac:dyDescent="0.25">
      <c r="A192" s="254"/>
      <c r="B192" s="649">
        <v>42772</v>
      </c>
      <c r="C192" s="648">
        <v>25</v>
      </c>
      <c r="D192" s="650">
        <v>75.25</v>
      </c>
      <c r="E192" s="650">
        <v>0</v>
      </c>
      <c r="F192" s="650">
        <f t="shared" si="35"/>
        <v>1881.25</v>
      </c>
      <c r="G192" s="649">
        <v>42915</v>
      </c>
      <c r="H192" s="740">
        <v>100</v>
      </c>
      <c r="I192" s="650">
        <v>64.28</v>
      </c>
      <c r="J192" s="650">
        <v>0.15</v>
      </c>
      <c r="K192" s="650">
        <f t="shared" si="36"/>
        <v>6427.85</v>
      </c>
      <c r="L192" s="648"/>
      <c r="M192" s="648"/>
    </row>
    <row r="193" spans="1:13" x14ac:dyDescent="0.25">
      <c r="A193" s="254"/>
      <c r="B193" s="649">
        <v>42773</v>
      </c>
      <c r="C193" s="648">
        <v>25</v>
      </c>
      <c r="D193" s="650">
        <v>73.08</v>
      </c>
      <c r="E193" s="650">
        <v>0</v>
      </c>
      <c r="F193" s="650">
        <f t="shared" si="35"/>
        <v>1827</v>
      </c>
      <c r="G193" s="649">
        <v>42972</v>
      </c>
      <c r="H193" s="740">
        <v>100</v>
      </c>
      <c r="I193" s="650">
        <v>64</v>
      </c>
      <c r="J193" s="650">
        <v>0.15</v>
      </c>
      <c r="K193" s="650">
        <f t="shared" si="36"/>
        <v>6399.85</v>
      </c>
      <c r="L193" s="648"/>
      <c r="M193" s="648"/>
    </row>
    <row r="194" spans="1:13" x14ac:dyDescent="0.25">
      <c r="A194" s="254"/>
      <c r="B194" s="649">
        <v>42794</v>
      </c>
      <c r="C194" s="648">
        <v>50</v>
      </c>
      <c r="D194" s="650">
        <v>69.05</v>
      </c>
      <c r="E194" s="650">
        <v>0</v>
      </c>
      <c r="F194" s="650">
        <f t="shared" si="35"/>
        <v>3452.5</v>
      </c>
      <c r="G194" s="649">
        <v>42984</v>
      </c>
      <c r="H194" s="740">
        <v>150</v>
      </c>
      <c r="I194" s="650">
        <v>65.38</v>
      </c>
      <c r="J194" s="650">
        <v>0.23</v>
      </c>
      <c r="K194" s="650">
        <f t="shared" si="36"/>
        <v>9806.77</v>
      </c>
      <c r="L194" s="648"/>
      <c r="M194" s="648"/>
    </row>
    <row r="195" spans="1:13" x14ac:dyDescent="0.25">
      <c r="A195" s="254"/>
      <c r="B195" s="649">
        <v>42794</v>
      </c>
      <c r="C195" s="648">
        <v>50</v>
      </c>
      <c r="D195" s="650">
        <v>68.77</v>
      </c>
      <c r="E195" s="650">
        <v>0</v>
      </c>
      <c r="F195" s="650">
        <f t="shared" si="35"/>
        <v>3438.5</v>
      </c>
      <c r="G195" s="649">
        <v>42989</v>
      </c>
      <c r="H195" s="740">
        <v>100</v>
      </c>
      <c r="I195" s="650">
        <v>66.78</v>
      </c>
      <c r="J195" s="650">
        <v>0.15</v>
      </c>
      <c r="K195" s="650">
        <f t="shared" si="36"/>
        <v>6677.85</v>
      </c>
      <c r="L195" s="648"/>
      <c r="M195" s="648"/>
    </row>
    <row r="196" spans="1:13" x14ac:dyDescent="0.25">
      <c r="A196" s="254"/>
      <c r="B196" s="649">
        <v>42794</v>
      </c>
      <c r="C196" s="648">
        <v>50</v>
      </c>
      <c r="D196" s="650">
        <v>65.38</v>
      </c>
      <c r="E196" s="650">
        <v>0</v>
      </c>
      <c r="F196" s="650">
        <f t="shared" si="35"/>
        <v>3269</v>
      </c>
      <c r="G196" s="649">
        <v>43005</v>
      </c>
      <c r="H196" s="740">
        <v>100</v>
      </c>
      <c r="I196" s="650">
        <v>66.48</v>
      </c>
      <c r="J196" s="650">
        <v>0.15</v>
      </c>
      <c r="K196" s="650">
        <f t="shared" si="36"/>
        <v>6647.85</v>
      </c>
      <c r="L196" s="648"/>
      <c r="M196" s="648"/>
    </row>
    <row r="197" spans="1:13" x14ac:dyDescent="0.25">
      <c r="A197" s="254"/>
      <c r="B197" s="649">
        <v>42794</v>
      </c>
      <c r="C197" s="648">
        <v>25</v>
      </c>
      <c r="D197" s="650">
        <v>63.28</v>
      </c>
      <c r="E197" s="650">
        <v>0</v>
      </c>
      <c r="F197" s="650">
        <f t="shared" si="35"/>
        <v>1582</v>
      </c>
      <c r="G197" s="649"/>
      <c r="H197" s="740"/>
      <c r="I197" s="648"/>
      <c r="J197" s="648"/>
      <c r="K197" s="650"/>
      <c r="L197" s="648"/>
      <c r="M197" s="648"/>
    </row>
    <row r="198" spans="1:13" x14ac:dyDescent="0.25">
      <c r="A198" s="254"/>
      <c r="B198" s="649">
        <v>42808</v>
      </c>
      <c r="C198" s="648">
        <v>25</v>
      </c>
      <c r="D198" s="650">
        <v>67.88</v>
      </c>
      <c r="E198" s="650">
        <v>0</v>
      </c>
      <c r="F198" s="650">
        <f t="shared" si="35"/>
        <v>1697</v>
      </c>
      <c r="G198" s="649"/>
      <c r="H198" s="740"/>
      <c r="I198" s="648"/>
      <c r="J198" s="648"/>
      <c r="K198" s="650"/>
      <c r="L198" s="648"/>
      <c r="M198" s="648"/>
    </row>
    <row r="199" spans="1:13" x14ac:dyDescent="0.25">
      <c r="A199" s="254"/>
      <c r="B199" s="649">
        <v>42865</v>
      </c>
      <c r="C199" s="648">
        <v>100</v>
      </c>
      <c r="D199" s="650">
        <v>63.85</v>
      </c>
      <c r="E199" s="650">
        <v>0</v>
      </c>
      <c r="F199" s="650">
        <f t="shared" si="35"/>
        <v>6385</v>
      </c>
      <c r="G199" s="649"/>
      <c r="H199" s="740"/>
      <c r="I199" s="650"/>
      <c r="J199" s="648"/>
      <c r="K199" s="650"/>
      <c r="L199" s="648"/>
      <c r="M199" s="648"/>
    </row>
    <row r="200" spans="1:13" x14ac:dyDescent="0.25">
      <c r="A200" s="254"/>
      <c r="B200" s="649">
        <v>42866</v>
      </c>
      <c r="C200" s="648">
        <v>50</v>
      </c>
      <c r="D200" s="650">
        <v>61.1</v>
      </c>
      <c r="E200" s="650">
        <v>-0.2</v>
      </c>
      <c r="F200" s="650">
        <f t="shared" si="35"/>
        <v>3054.8</v>
      </c>
      <c r="G200" s="649"/>
      <c r="H200" s="740"/>
      <c r="I200" s="648"/>
      <c r="J200" s="648"/>
      <c r="K200" s="650"/>
      <c r="L200" s="648"/>
      <c r="M200" s="648"/>
    </row>
    <row r="201" spans="1:13" x14ac:dyDescent="0.25">
      <c r="A201" s="254"/>
      <c r="B201" s="649">
        <v>42879</v>
      </c>
      <c r="C201" s="648">
        <v>50</v>
      </c>
      <c r="D201" s="650">
        <v>53.3</v>
      </c>
      <c r="E201" s="650">
        <v>0</v>
      </c>
      <c r="F201" s="650">
        <f t="shared" si="35"/>
        <v>2665</v>
      </c>
      <c r="G201" s="649"/>
      <c r="H201" s="740"/>
      <c r="I201" s="648"/>
      <c r="J201" s="648"/>
      <c r="K201" s="650"/>
      <c r="L201" s="648"/>
      <c r="M201" s="648"/>
    </row>
    <row r="202" spans="1:13" x14ac:dyDescent="0.25">
      <c r="A202" s="254"/>
      <c r="B202" s="649">
        <v>42949</v>
      </c>
      <c r="C202" s="648">
        <v>50</v>
      </c>
      <c r="D202" s="650">
        <v>59.32</v>
      </c>
      <c r="E202" s="650">
        <v>0</v>
      </c>
      <c r="F202" s="650">
        <f t="shared" si="35"/>
        <v>2966</v>
      </c>
      <c r="G202" s="649"/>
      <c r="H202" s="740"/>
      <c r="I202" s="648"/>
      <c r="J202" s="648"/>
      <c r="K202" s="650"/>
      <c r="L202" s="648"/>
      <c r="M202" s="648"/>
    </row>
    <row r="203" spans="1:13" x14ac:dyDescent="0.25">
      <c r="A203" s="254"/>
      <c r="B203" s="649">
        <v>42957</v>
      </c>
      <c r="C203" s="648">
        <v>50</v>
      </c>
      <c r="D203" s="650">
        <v>55.78</v>
      </c>
      <c r="E203" s="650">
        <v>0</v>
      </c>
      <c r="F203" s="650">
        <f t="shared" si="35"/>
        <v>2789</v>
      </c>
      <c r="G203" s="648"/>
      <c r="H203" s="648"/>
      <c r="I203" s="648"/>
      <c r="J203" s="648"/>
      <c r="K203" s="650"/>
      <c r="L203" s="648"/>
      <c r="M203" s="648"/>
    </row>
    <row r="204" spans="1:13" x14ac:dyDescent="0.25">
      <c r="A204" s="254"/>
      <c r="B204" s="649">
        <v>42972</v>
      </c>
      <c r="C204" s="648">
        <v>100</v>
      </c>
      <c r="D204" s="650">
        <v>62.88</v>
      </c>
      <c r="E204" s="650">
        <v>0</v>
      </c>
      <c r="F204" s="650">
        <f>C204*D204+E204</f>
        <v>6288</v>
      </c>
      <c r="G204" s="649"/>
      <c r="H204" s="740"/>
      <c r="I204" s="648"/>
      <c r="J204" s="648"/>
      <c r="K204" s="650"/>
      <c r="L204" s="648"/>
      <c r="M204" s="648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49" t="s">
        <v>194</v>
      </c>
      <c r="B213" s="450"/>
      <c r="C213" s="451">
        <f>SumByColor($A$23,C179:C211)</f>
        <v>0</v>
      </c>
      <c r="D213" s="451"/>
      <c r="E213" s="451"/>
      <c r="F213" s="452">
        <f>SumByColor($A$23,F179:F211)</f>
        <v>0</v>
      </c>
      <c r="G213" s="451"/>
      <c r="H213" s="451">
        <f>SumByColor($A$23,H179:H211)</f>
        <v>0</v>
      </c>
      <c r="I213" s="451"/>
      <c r="J213" s="451"/>
      <c r="K213" s="452">
        <f>SumByColor($A$23,K179:K211)</f>
        <v>0</v>
      </c>
      <c r="L213" s="451"/>
      <c r="M213" s="452">
        <f>SumByColor($A$23,M179:M211)</f>
        <v>0</v>
      </c>
    </row>
  </sheetData>
  <conditionalFormatting sqref="N23">
    <cfRule type="expression" dxfId="2491" priority="54">
      <formula>N23&gt;0</formula>
    </cfRule>
    <cfRule type="expression" dxfId="2490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89" priority="48">
      <formula>F79&gt;0</formula>
    </cfRule>
    <cfRule type="expression" dxfId="2488" priority="49">
      <formula>F79&lt;0</formula>
    </cfRule>
  </conditionalFormatting>
  <conditionalFormatting sqref="H79:H97 H101:H118">
    <cfRule type="expression" dxfId="2487" priority="46">
      <formula>H79&gt;0</formula>
    </cfRule>
    <cfRule type="expression" dxfId="2486" priority="47">
      <formula>H79&lt;0</formula>
    </cfRule>
  </conditionalFormatting>
  <conditionalFormatting sqref="I75:I97 I100:I118">
    <cfRule type="expression" dxfId="2485" priority="44">
      <formula>I75&gt;0</formula>
    </cfRule>
    <cfRule type="expression" dxfId="2484" priority="45">
      <formula>I75&lt;0</formula>
    </cfRule>
  </conditionalFormatting>
  <conditionalFormatting sqref="Q7">
    <cfRule type="expression" dxfId="2483" priority="42">
      <formula>Q7&gt;0</formula>
    </cfRule>
    <cfRule type="expression" dxfId="2482" priority="43">
      <formula>Q7&lt;0</formula>
    </cfRule>
  </conditionalFormatting>
  <conditionalFormatting sqref="Q8">
    <cfRule type="expression" dxfId="2481" priority="40">
      <formula>Q8&gt;0</formula>
    </cfRule>
    <cfRule type="expression" dxfId="2480" priority="41">
      <formula>Q8&lt;0</formula>
    </cfRule>
  </conditionalFormatting>
  <conditionalFormatting sqref="F75:F78">
    <cfRule type="expression" dxfId="2479" priority="38">
      <formula>F75&gt;0</formula>
    </cfRule>
    <cfRule type="expression" dxfId="2478" priority="39">
      <formula>F75&lt;0</formula>
    </cfRule>
  </conditionalFormatting>
  <conditionalFormatting sqref="H75:H78">
    <cfRule type="expression" dxfId="2477" priority="36">
      <formula>H75&gt;0</formula>
    </cfRule>
    <cfRule type="expression" dxfId="2476" priority="37">
      <formula>H75&lt;0</formula>
    </cfRule>
  </conditionalFormatting>
  <conditionalFormatting sqref="F100:F114">
    <cfRule type="expression" dxfId="2475" priority="30">
      <formula>F100&gt;0</formula>
    </cfRule>
    <cfRule type="expression" dxfId="2474" priority="31">
      <formula>F100&lt;0</formula>
    </cfRule>
  </conditionalFormatting>
  <conditionalFormatting sqref="H100:H114">
    <cfRule type="expression" dxfId="2473" priority="28">
      <formula>H100&gt;0</formula>
    </cfRule>
    <cfRule type="expression" dxfId="2472" priority="29">
      <formula>H100&lt;0</formula>
    </cfRule>
  </conditionalFormatting>
  <conditionalFormatting sqref="F29:F61">
    <cfRule type="expression" dxfId="2471" priority="26">
      <formula>F29&gt;0</formula>
    </cfRule>
    <cfRule type="expression" dxfId="2470" priority="27">
      <formula>F29&lt;0</formula>
    </cfRule>
  </conditionalFormatting>
  <conditionalFormatting sqref="H29:H61">
    <cfRule type="expression" dxfId="2469" priority="24">
      <formula>H29&gt;0</formula>
    </cfRule>
    <cfRule type="expression" dxfId="2468" priority="25">
      <formula>H29&lt;0</formula>
    </cfRule>
  </conditionalFormatting>
  <conditionalFormatting sqref="J38:J68">
    <cfRule type="expression" dxfId="2467" priority="22">
      <formula>J38&gt;0</formula>
    </cfRule>
    <cfRule type="expression" dxfId="2466" priority="23">
      <formula>J38&lt;0</formula>
    </cfRule>
  </conditionalFormatting>
  <conditionalFormatting sqref="J43">
    <cfRule type="expression" dxfId="2465" priority="20">
      <formula>J43&gt;0</formula>
    </cfRule>
    <cfRule type="expression" dxfId="2464" priority="21">
      <formula>J43&lt;0</formula>
    </cfRule>
  </conditionalFormatting>
  <conditionalFormatting sqref="Q9">
    <cfRule type="expression" dxfId="2463" priority="14">
      <formula>Q9&gt;0</formula>
    </cfRule>
    <cfRule type="expression" dxfId="2462" priority="15">
      <formula>Q9&lt;0</formula>
    </cfRule>
  </conditionalFormatting>
  <conditionalFormatting sqref="R4">
    <cfRule type="expression" dxfId="2461" priority="16">
      <formula>R4&gt;0</formula>
    </cfRule>
    <cfRule type="expression" dxfId="2460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59" priority="11">
      <formula>F120&gt;0</formula>
    </cfRule>
    <cfRule type="expression" dxfId="2458" priority="12">
      <formula>F120&lt;0</formula>
    </cfRule>
  </conditionalFormatting>
  <conditionalFormatting sqref="H120:H160">
    <cfRule type="expression" dxfId="2457" priority="9">
      <formula>H120&gt;0</formula>
    </cfRule>
    <cfRule type="expression" dxfId="2456" priority="10">
      <formula>H120&lt;0</formula>
    </cfRule>
  </conditionalFormatting>
  <conditionalFormatting sqref="J129:J160">
    <cfRule type="expression" dxfId="2455" priority="7">
      <formula>J129&gt;0</formula>
    </cfRule>
    <cfRule type="expression" dxfId="2454" priority="8">
      <formula>J129&lt;0</formula>
    </cfRule>
  </conditionalFormatting>
  <conditionalFormatting sqref="J134">
    <cfRule type="expression" dxfId="2453" priority="5">
      <formula>J134&gt;0</formula>
    </cfRule>
    <cfRule type="expression" dxfId="2452" priority="6">
      <formula>J134&lt;0</formula>
    </cfRule>
  </conditionalFormatting>
  <conditionalFormatting sqref="J31:J40">
    <cfRule type="expression" dxfId="2451" priority="3">
      <formula>J31&gt;0</formula>
    </cfRule>
    <cfRule type="expression" dxfId="2450" priority="4">
      <formula>J31&lt;0</formula>
    </cfRule>
  </conditionalFormatting>
  <conditionalFormatting sqref="J36:J37">
    <cfRule type="expression" dxfId="2449" priority="1">
      <formula>J36&gt;0</formula>
    </cfRule>
    <cfRule type="expression" dxfId="2448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178.12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178.12</v>
      </c>
      <c r="R4" s="503">
        <v>-1.5E-3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11" t="s">
        <v>78</v>
      </c>
      <c r="P42" s="811"/>
      <c r="T42" s="106" t="s">
        <v>99</v>
      </c>
      <c r="U42" s="359" t="s">
        <v>588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195.93200000000002</v>
      </c>
      <c r="Q43" s="2"/>
      <c r="T43" s="106" t="s">
        <v>100</v>
      </c>
      <c r="U43" s="359" t="s">
        <v>589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194.15080000000003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192.36960000000002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190.58840000000001</v>
      </c>
      <c r="Q46" s="2"/>
      <c r="T46" s="106" t="s">
        <v>121</v>
      </c>
      <c r="U46" s="359" t="s">
        <v>398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188.80720000000002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187.02600000000001</v>
      </c>
      <c r="Q48" s="2"/>
      <c r="T48" s="106" t="s">
        <v>104</v>
      </c>
      <c r="U48" s="359" t="s">
        <v>590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185.2448</v>
      </c>
      <c r="Q49" s="2"/>
      <c r="T49" s="106" t="s">
        <v>105</v>
      </c>
      <c r="U49" s="359" t="s">
        <v>591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183.46360000000001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181.6824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179.90120000000002</v>
      </c>
      <c r="Q52" s="2"/>
      <c r="T52" s="106" t="s">
        <v>107</v>
      </c>
      <c r="U52" s="359" t="s">
        <v>592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178.12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176.33879999999999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174.55760000000001</v>
      </c>
      <c r="Q55" s="2"/>
      <c r="T55" s="106" t="s">
        <v>108</v>
      </c>
      <c r="U55" s="359" t="s">
        <v>547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172.7764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170.99520000000001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7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169.214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7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167.43279999999999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165.6516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8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163.87040000000002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8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162.08920000000001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160.30800000000002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49"/>
      <c r="B74" s="450"/>
      <c r="C74" s="451"/>
      <c r="D74" s="451"/>
      <c r="E74" s="451"/>
      <c r="F74" s="452"/>
      <c r="G74" s="451"/>
      <c r="H74" s="451"/>
      <c r="I74" s="451"/>
      <c r="J74" s="451"/>
      <c r="K74" s="452"/>
      <c r="L74" s="451"/>
      <c r="M74" s="452"/>
    </row>
  </sheetData>
  <mergeCells count="1">
    <mergeCell ref="O42:P42"/>
  </mergeCells>
  <conditionalFormatting sqref="N19">
    <cfRule type="expression" dxfId="2447" priority="35">
      <formula>N19&gt;0</formula>
    </cfRule>
    <cfRule type="expression" dxfId="2446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45" priority="21">
      <formula>F25&gt;0</formula>
    </cfRule>
    <cfRule type="expression" dxfId="2444" priority="22">
      <formula>F25&lt;0</formula>
    </cfRule>
  </conditionalFormatting>
  <conditionalFormatting sqref="H25:H47">
    <cfRule type="expression" dxfId="2443" priority="19">
      <formula>H25&gt;0</formula>
    </cfRule>
    <cfRule type="expression" dxfId="2442" priority="20">
      <formula>H25&lt;0</formula>
    </cfRule>
  </conditionalFormatting>
  <conditionalFormatting sqref="I25:I27">
    <cfRule type="expression" dxfId="2441" priority="15">
      <formula>I25&gt;0</formula>
    </cfRule>
    <cfRule type="expression" dxfId="2440" priority="16">
      <formula>I25&lt;0</formula>
    </cfRule>
  </conditionalFormatting>
  <conditionalFormatting sqref="Q7">
    <cfRule type="expression" dxfId="2439" priority="5">
      <formula>Q7&gt;0</formula>
    </cfRule>
    <cfRule type="expression" dxfId="2438" priority="6">
      <formula>Q7&lt;0</formula>
    </cfRule>
  </conditionalFormatting>
  <conditionalFormatting sqref="Q8">
    <cfRule type="expression" dxfId="2437" priority="3">
      <formula>Q8&gt;0</formula>
    </cfRule>
    <cfRule type="expression" dxfId="2436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97.51</v>
      </c>
      <c r="T3" s="1">
        <v>42572</v>
      </c>
      <c r="U3" t="s">
        <v>238</v>
      </c>
      <c r="W3" s="130">
        <v>42830</v>
      </c>
      <c r="X3" s="10" t="s">
        <v>296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97.51</v>
      </c>
      <c r="R4" s="486">
        <v>-2.0799999999999999E-2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107.26100000000001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106.28590000000001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105.31080000000001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104.33570000000002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103.36060000000001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102.38550000000001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101.41040000000001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100.43530000000001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6" t="s">
        <v>1</v>
      </c>
      <c r="B49" s="376" t="s">
        <v>2</v>
      </c>
      <c r="C49" s="376" t="s">
        <v>4</v>
      </c>
      <c r="D49" s="378" t="s">
        <v>5</v>
      </c>
      <c r="E49" s="378" t="s">
        <v>94</v>
      </c>
      <c r="F49" s="378" t="s">
        <v>60</v>
      </c>
      <c r="G49" s="376" t="s">
        <v>3</v>
      </c>
      <c r="H49" s="376" t="s">
        <v>6</v>
      </c>
      <c r="I49" s="378" t="s">
        <v>7</v>
      </c>
      <c r="J49" s="378" t="s">
        <v>95</v>
      </c>
      <c r="K49" s="378" t="s">
        <v>61</v>
      </c>
      <c r="L49" s="376" t="s">
        <v>37</v>
      </c>
      <c r="M49" s="376" t="s">
        <v>38</v>
      </c>
      <c r="O49" s="81">
        <v>1.02</v>
      </c>
      <c r="P49" s="81">
        <f t="shared" si="5"/>
        <v>99.4602</v>
      </c>
      <c r="Q49" s="2"/>
      <c r="T49" s="91" t="s">
        <v>103</v>
      </c>
      <c r="U49" s="127" t="s">
        <v>528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9" t="s">
        <v>226</v>
      </c>
      <c r="B50" s="369">
        <v>42548</v>
      </c>
      <c r="C50" s="370">
        <v>40</v>
      </c>
      <c r="D50" s="371">
        <v>59.08</v>
      </c>
      <c r="E50" s="371">
        <v>0</v>
      </c>
      <c r="F50" s="371">
        <f>D50*C50+E50</f>
        <v>2363.1999999999998</v>
      </c>
      <c r="G50" s="369">
        <v>42580</v>
      </c>
      <c r="H50" s="374">
        <v>40</v>
      </c>
      <c r="I50" s="371">
        <v>64.58</v>
      </c>
      <c r="J50" s="371">
        <v>0.06</v>
      </c>
      <c r="K50" s="371">
        <f>I50*H50-J50</f>
        <v>2583.14</v>
      </c>
      <c r="L50" s="369">
        <v>42592</v>
      </c>
      <c r="M50" s="370">
        <v>11.6</v>
      </c>
      <c r="O50" s="81">
        <v>1.01</v>
      </c>
      <c r="P50" s="81">
        <f t="shared" si="5"/>
        <v>98.485100000000003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0" t="s">
        <v>71</v>
      </c>
      <c r="B51" s="369"/>
      <c r="C51" s="370"/>
      <c r="D51" s="371"/>
      <c r="E51" s="371"/>
      <c r="F51" s="371"/>
      <c r="G51" s="370"/>
      <c r="H51" s="374"/>
      <c r="I51" s="371"/>
      <c r="J51" s="371"/>
      <c r="K51" s="371"/>
      <c r="L51" s="370"/>
      <c r="M51" s="370"/>
      <c r="O51" s="81">
        <v>1</v>
      </c>
      <c r="P51" s="81">
        <f t="shared" si="5"/>
        <v>97.51</v>
      </c>
      <c r="Q51" s="2"/>
      <c r="T51" s="91" t="s">
        <v>104</v>
      </c>
      <c r="U51" s="127" t="s">
        <v>593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0"/>
      <c r="B52" s="369"/>
      <c r="C52" s="370"/>
      <c r="D52" s="371"/>
      <c r="E52" s="371"/>
      <c r="F52" s="371"/>
      <c r="G52" s="370"/>
      <c r="H52" s="374"/>
      <c r="I52" s="371"/>
      <c r="J52" s="371"/>
      <c r="K52" s="371"/>
      <c r="L52" s="370"/>
      <c r="M52" s="370"/>
      <c r="O52" s="81">
        <v>0.99</v>
      </c>
      <c r="P52" s="81">
        <f t="shared" si="5"/>
        <v>96.534900000000007</v>
      </c>
      <c r="Q52" s="2"/>
      <c r="T52" s="91" t="s">
        <v>105</v>
      </c>
      <c r="U52" s="127" t="s">
        <v>483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0"/>
      <c r="B53" s="369"/>
      <c r="C53" s="370"/>
      <c r="D53" s="371"/>
      <c r="E53" s="371"/>
      <c r="F53" s="371"/>
      <c r="G53" s="370"/>
      <c r="H53" s="374"/>
      <c r="I53" s="371"/>
      <c r="J53" s="371"/>
      <c r="K53" s="371"/>
      <c r="L53" s="370"/>
      <c r="M53" s="370"/>
      <c r="O53" s="81">
        <v>0.98</v>
      </c>
      <c r="P53" s="81">
        <f t="shared" si="5"/>
        <v>95.55980000000001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0"/>
      <c r="B54" s="369"/>
      <c r="C54" s="370"/>
      <c r="D54" s="371"/>
      <c r="E54" s="371"/>
      <c r="F54" s="371"/>
      <c r="G54" s="370"/>
      <c r="H54" s="374"/>
      <c r="I54" s="371"/>
      <c r="J54" s="371"/>
      <c r="K54" s="371"/>
      <c r="L54" s="370"/>
      <c r="M54" s="370"/>
      <c r="O54" s="81">
        <v>0.97</v>
      </c>
      <c r="P54" s="81">
        <f t="shared" si="5"/>
        <v>94.584699999999998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5"/>
        <v>93.6096</v>
      </c>
      <c r="T55" s="91" t="s">
        <v>107</v>
      </c>
      <c r="U55" s="127" t="s">
        <v>594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5"/>
        <v>92.634500000000003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5"/>
        <v>91.659400000000005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5"/>
        <v>90.684300000000007</v>
      </c>
      <c r="T58" s="91" t="s">
        <v>108</v>
      </c>
      <c r="U58" s="127" t="s">
        <v>555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5"/>
        <v>89.70920000000001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5"/>
        <v>88.734100000000012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5"/>
        <v>87.759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0"/>
      <c r="I65" s="371"/>
      <c r="J65" s="371"/>
      <c r="K65" s="371"/>
      <c r="L65" s="370"/>
      <c r="M65" s="370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4" t="s">
        <v>194</v>
      </c>
      <c r="B67" s="455"/>
      <c r="C67" s="456">
        <f>SumByColor($A$19,C50:C65)</f>
        <v>0</v>
      </c>
      <c r="D67" s="456"/>
      <c r="E67" s="456"/>
      <c r="F67" s="457">
        <f>SumByColor($A$19,F50:F65)</f>
        <v>0</v>
      </c>
      <c r="G67" s="456"/>
      <c r="H67" s="456">
        <f>SumByColor($A$19,H50:H65)</f>
        <v>0</v>
      </c>
      <c r="I67" s="456"/>
      <c r="J67" s="456"/>
      <c r="K67" s="457">
        <f>SumByColor($A$19,K50:K65)</f>
        <v>0</v>
      </c>
      <c r="L67" s="456"/>
      <c r="M67" s="457">
        <f>SumByColor($A$19,M50:M65)</f>
        <v>0</v>
      </c>
      <c r="W67" s="130">
        <v>42739</v>
      </c>
      <c r="X67" s="10" t="s">
        <v>296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35" priority="9">
      <formula>F36&gt;0</formula>
    </cfRule>
    <cfRule type="expression" dxfId="2434" priority="10">
      <formula>F36&lt;0</formula>
    </cfRule>
  </conditionalFormatting>
  <conditionalFormatting sqref="F25:F35">
    <cfRule type="expression" dxfId="2433" priority="7">
      <formula>F25&gt;0</formula>
    </cfRule>
    <cfRule type="expression" dxfId="2432" priority="8">
      <formula>F25&lt;0</formula>
    </cfRule>
  </conditionalFormatting>
  <conditionalFormatting sqref="H25:H35">
    <cfRule type="expression" dxfId="2431" priority="5">
      <formula>H25&gt;0</formula>
    </cfRule>
    <cfRule type="expression" dxfId="2430" priority="6">
      <formula>H25&lt;0</formula>
    </cfRule>
  </conditionalFormatting>
  <conditionalFormatting sqref="Q7">
    <cfRule type="expression" dxfId="2429" priority="3">
      <formula>Q7&gt;0</formula>
    </cfRule>
    <cfRule type="expression" dxfId="2428" priority="4">
      <formula>Q7&lt;0</formula>
    </cfRule>
  </conditionalFormatting>
  <conditionalFormatting sqref="Q8">
    <cfRule type="expression" dxfId="2427" priority="1">
      <formula>Q8&gt;0</formula>
    </cfRule>
    <cfRule type="expression" dxfId="2426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94.59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94.59</v>
      </c>
      <c r="R4" s="508">
        <v>-9.7000000000000003E-3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737</v>
      </c>
      <c r="P20" s="7" t="s">
        <v>738</v>
      </c>
      <c r="Q20" s="7" t="s">
        <v>739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740</v>
      </c>
      <c r="P21" s="7">
        <v>1.095</v>
      </c>
      <c r="Q21" s="69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741</v>
      </c>
      <c r="P22" s="7">
        <v>1.0920000000000001</v>
      </c>
      <c r="Q22" s="69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742</v>
      </c>
      <c r="P23" s="7" t="s">
        <v>743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7" t="s">
        <v>724</v>
      </c>
      <c r="P24" s="7" t="s">
        <v>744</v>
      </c>
      <c r="Q24" s="7" t="s">
        <v>744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742</v>
      </c>
      <c r="P25" s="7" t="s">
        <v>745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746</v>
      </c>
      <c r="P26" s="7" t="s">
        <v>738</v>
      </c>
      <c r="Q26" s="7" t="s">
        <v>739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741</v>
      </c>
      <c r="P28" s="7">
        <v>0.92200000000000004</v>
      </c>
      <c r="Q28" s="69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724</v>
      </c>
      <c r="P29" s="7" t="s">
        <v>744</v>
      </c>
      <c r="Q29" s="7" t="s">
        <v>744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747</v>
      </c>
      <c r="P30" s="7" t="s">
        <v>738</v>
      </c>
      <c r="Q30" s="7" t="s">
        <v>739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740</v>
      </c>
      <c r="P32" s="7">
        <v>1.026</v>
      </c>
      <c r="Q32" s="69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3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104.04900000000001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103.10310000000001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102.15720000000002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101.21130000000001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100.26540000000001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99.319500000000005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98.37360000000001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97.427700000000002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96.481800000000007</v>
      </c>
      <c r="Q49" s="2"/>
      <c r="T49" s="91" t="s">
        <v>121</v>
      </c>
      <c r="U49" s="127" t="s">
        <v>520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95.535899999999998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94.59</v>
      </c>
      <c r="Q51" s="2"/>
      <c r="T51" s="91" t="s">
        <v>104</v>
      </c>
      <c r="U51" s="127" t="s">
        <v>595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93.644100000000009</v>
      </c>
      <c r="Q52" s="2"/>
      <c r="T52" s="91" t="s">
        <v>105</v>
      </c>
      <c r="U52" s="127" t="s">
        <v>314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92.6982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91.752300000000005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90.806399999999996</v>
      </c>
      <c r="T55" s="91" t="s">
        <v>107</v>
      </c>
      <c r="U55" s="127" t="s">
        <v>596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89.860500000000002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88.914599999999993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87.968700000000013</v>
      </c>
      <c r="T58" s="91" t="s">
        <v>108</v>
      </c>
      <c r="U58" s="127" t="s">
        <v>556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87.022800000000004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86.076900000000009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85.131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268</v>
      </c>
      <c r="B68" s="509">
        <v>42619</v>
      </c>
      <c r="C68" s="510">
        <v>20</v>
      </c>
      <c r="D68" s="512">
        <v>72.08</v>
      </c>
      <c r="E68" s="512">
        <v>0</v>
      </c>
      <c r="F68" s="512">
        <f>C68*D68+E68</f>
        <v>1441.6</v>
      </c>
      <c r="G68" s="509">
        <v>42683</v>
      </c>
      <c r="H68" s="527">
        <v>35</v>
      </c>
      <c r="I68" s="512">
        <v>71.36</v>
      </c>
      <c r="J68" s="512">
        <v>0.05</v>
      </c>
      <c r="K68" s="512">
        <f>H68*I68-J68</f>
        <v>2497.5499999999997</v>
      </c>
      <c r="L68" s="509">
        <v>42642</v>
      </c>
      <c r="M68" s="512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>
        <v>42621</v>
      </c>
      <c r="C69" s="510">
        <v>20</v>
      </c>
      <c r="D69" s="512">
        <v>70.45</v>
      </c>
      <c r="E69" s="512">
        <v>0</v>
      </c>
      <c r="F69" s="512">
        <f>C69*D69+E69</f>
        <v>1409</v>
      </c>
      <c r="G69" s="509">
        <v>42684</v>
      </c>
      <c r="H69" s="527">
        <v>30</v>
      </c>
      <c r="I69" s="512">
        <v>73.28</v>
      </c>
      <c r="J69" s="512">
        <v>0.05</v>
      </c>
      <c r="K69" s="512">
        <f>H69*I69-J69</f>
        <v>2198.35</v>
      </c>
      <c r="L69" s="510"/>
      <c r="M69" s="510"/>
      <c r="AD69" s="2"/>
      <c r="AE69" s="134"/>
    </row>
    <row r="70" spans="1:31" x14ac:dyDescent="0.25">
      <c r="A70" s="510"/>
      <c r="B70" s="509">
        <v>42648</v>
      </c>
      <c r="C70" s="510">
        <v>25</v>
      </c>
      <c r="D70" s="512">
        <v>67.88</v>
      </c>
      <c r="E70" s="512">
        <v>0</v>
      </c>
      <c r="F70" s="512">
        <f>C70*D70+E70</f>
        <v>1697</v>
      </c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44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0"/>
      <c r="B73" s="44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0"/>
      <c r="B74" s="44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44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44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SUM(C68:C83)</f>
        <v>365</v>
      </c>
      <c r="D84" s="531"/>
      <c r="E84" s="531"/>
      <c r="F84" s="531">
        <f>SUM(F68:F83)</f>
        <v>26186.6</v>
      </c>
      <c r="G84" s="530"/>
      <c r="H84" s="552">
        <f>SUM(H68:H83)</f>
        <v>365</v>
      </c>
      <c r="I84" s="531"/>
      <c r="J84" s="531"/>
      <c r="K84" s="531">
        <f>SUM(K68:K83)</f>
        <v>27969.379999999997</v>
      </c>
      <c r="L84" s="530"/>
      <c r="M84" s="531">
        <f>SUM(M68:M83)</f>
        <v>75</v>
      </c>
    </row>
    <row r="85" spans="1:13" ht="15.75" thickBot="1" x14ac:dyDescent="0.3">
      <c r="A85" s="532" t="s">
        <v>194</v>
      </c>
      <c r="B85" s="533"/>
      <c r="C85" s="534">
        <f>SumByColor($A$19,C68:C83)</f>
        <v>250</v>
      </c>
      <c r="D85" s="534"/>
      <c r="E85" s="534"/>
      <c r="F85" s="535">
        <f>SumByColor($A$19,F68:F83)</f>
        <v>17820</v>
      </c>
      <c r="G85" s="534"/>
      <c r="H85" s="534">
        <f>SumByColor($A$19,H68:H83)</f>
        <v>250</v>
      </c>
      <c r="I85" s="534"/>
      <c r="J85" s="534"/>
      <c r="K85" s="535">
        <f>SumByColor($A$19,K68:K83)</f>
        <v>18894</v>
      </c>
      <c r="L85" s="534"/>
      <c r="M85" s="535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25" priority="37">
      <formula>F25&gt;0</formula>
    </cfRule>
    <cfRule type="expression" dxfId="2424" priority="38">
      <formula>F25&lt;0</formula>
    </cfRule>
  </conditionalFormatting>
  <conditionalFormatting sqref="Q7">
    <cfRule type="expression" dxfId="2423" priority="35">
      <formula>Q7&gt;0</formula>
    </cfRule>
    <cfRule type="expression" dxfId="2422" priority="36">
      <formula>Q7&lt;0</formula>
    </cfRule>
  </conditionalFormatting>
  <conditionalFormatting sqref="Q8">
    <cfRule type="expression" dxfId="2421" priority="33">
      <formula>Q8&gt;0</formula>
    </cfRule>
    <cfRule type="expression" dxfId="2420" priority="34">
      <formula>Q8&lt;0</formula>
    </cfRule>
  </conditionalFormatting>
  <conditionalFormatting sqref="F44:F46">
    <cfRule type="expression" dxfId="2419" priority="31">
      <formula>F44&gt;0</formula>
    </cfRule>
    <cfRule type="expression" dxfId="2418" priority="32">
      <formula>F44&lt;0</formula>
    </cfRule>
  </conditionalFormatting>
  <conditionalFormatting sqref="H44:H46">
    <cfRule type="expression" dxfId="2417" priority="29">
      <formula>H44&gt;0</formula>
    </cfRule>
    <cfRule type="expression" dxfId="2416" priority="30">
      <formula>H44&lt;0</formula>
    </cfRule>
  </conditionalFormatting>
  <conditionalFormatting sqref="F89:F110">
    <cfRule type="expression" dxfId="2415" priority="27">
      <formula>F89&gt;0</formula>
    </cfRule>
    <cfRule type="expression" dxfId="2414" priority="28">
      <formula>F89&lt;0</formula>
    </cfRule>
  </conditionalFormatting>
  <conditionalFormatting sqref="H89:H110">
    <cfRule type="expression" dxfId="2413" priority="25">
      <formula>H89&gt;0</formula>
    </cfRule>
    <cfRule type="expression" dxfId="2412" priority="26">
      <formula>H89&lt;0</formula>
    </cfRule>
  </conditionalFormatting>
  <conditionalFormatting sqref="Q10">
    <cfRule type="expression" dxfId="2411" priority="23">
      <formula>Q10&gt;0</formula>
    </cfRule>
    <cfRule type="expression" dxfId="2410" priority="24">
      <formula>Q10&lt;0</formula>
    </cfRule>
  </conditionalFormatting>
  <conditionalFormatting sqref="J25:J38">
    <cfRule type="expression" dxfId="2409" priority="21">
      <formula>J25&gt;0</formula>
    </cfRule>
    <cfRule type="expression" dxfId="2408" priority="22">
      <formula>J25&lt;0</formula>
    </cfRule>
  </conditionalFormatting>
  <conditionalFormatting sqref="K25:K38">
    <cfRule type="expression" dxfId="2407" priority="19">
      <formula>K25&gt;0</formula>
    </cfRule>
    <cfRule type="expression" dxfId="2406" priority="20">
      <formula>K25&lt;0</formula>
    </cfRule>
  </conditionalFormatting>
  <conditionalFormatting sqref="L25:L38">
    <cfRule type="expression" dxfId="2405" priority="17">
      <formula>L25&gt;0</formula>
    </cfRule>
    <cfRule type="expression" dxfId="2404" priority="18">
      <formula>L25&lt;0</formula>
    </cfRule>
  </conditionalFormatting>
  <conditionalFormatting sqref="J40">
    <cfRule type="expression" dxfId="2403" priority="15">
      <formula>J40&gt;0</formula>
    </cfRule>
    <cfRule type="expression" dxfId="2402" priority="16">
      <formula>J40&lt;0</formula>
    </cfRule>
  </conditionalFormatting>
  <conditionalFormatting sqref="L39">
    <cfRule type="expression" dxfId="2401" priority="11">
      <formula>L39&gt;0</formula>
    </cfRule>
    <cfRule type="expression" dxfId="2400" priority="12">
      <formula>L39&lt;0</formula>
    </cfRule>
  </conditionalFormatting>
  <conditionalFormatting sqref="F39">
    <cfRule type="expression" dxfId="2399" priority="9">
      <formula>F39&gt;0</formula>
    </cfRule>
    <cfRule type="expression" dxfId="2398" priority="10">
      <formula>F39&lt;0</formula>
    </cfRule>
  </conditionalFormatting>
  <conditionalFormatting sqref="H39">
    <cfRule type="expression" dxfId="2397" priority="7">
      <formula>H39&gt;0</formula>
    </cfRule>
    <cfRule type="expression" dxfId="2396" priority="8">
      <formula>H39&lt;0</formula>
    </cfRule>
  </conditionalFormatting>
  <conditionalFormatting sqref="J41">
    <cfRule type="expression" dxfId="2395" priority="5">
      <formula>J41&gt;0</formula>
    </cfRule>
    <cfRule type="expression" dxfId="2394" priority="6">
      <formula>J41&lt;0</formula>
    </cfRule>
  </conditionalFormatting>
  <conditionalFormatting sqref="J43">
    <cfRule type="expression" dxfId="2393" priority="3">
      <formula>J43&gt;0</formula>
    </cfRule>
    <cfRule type="expression" dxfId="2392" priority="4">
      <formula>J43&lt;0</formula>
    </cfRule>
  </conditionalFormatting>
  <conditionalFormatting sqref="J44">
    <cfRule type="expression" dxfId="2391" priority="1">
      <formula>J44&gt;0</formula>
    </cfRule>
    <cfRule type="expression" dxfId="2390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33.15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33.15</v>
      </c>
      <c r="R4" s="486">
        <v>-1.4E-2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36.465000000000003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36.133499999999998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35.802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35.470500000000001</v>
      </c>
      <c r="R43" s="81"/>
      <c r="T43" s="85" t="s">
        <v>100</v>
      </c>
      <c r="U43" s="127" t="s">
        <v>542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35.139000000000003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34.807499999999997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34.475999999999999</v>
      </c>
      <c r="R46" s="81"/>
      <c r="T46" s="85" t="s">
        <v>121</v>
      </c>
      <c r="U46" s="227" t="s">
        <v>433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34.144500000000001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33.813000000000002</v>
      </c>
      <c r="R48" s="81"/>
      <c r="T48" s="85" t="s">
        <v>104</v>
      </c>
      <c r="U48" s="127" t="s">
        <v>597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33.481499999999997</v>
      </c>
      <c r="R49" s="81"/>
      <c r="T49" s="85" t="s">
        <v>105</v>
      </c>
      <c r="U49" s="127" t="s">
        <v>336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33.15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32.8185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32.486999999999995</v>
      </c>
      <c r="R52" s="81"/>
      <c r="T52" s="85" t="s">
        <v>107</v>
      </c>
      <c r="U52" s="127" t="s">
        <v>598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32.155499999999996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31.823999999999998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31.492499999999996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31.160999999999998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30.829499999999999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30.498000000000001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30.166499999999999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29.835000000000001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89" priority="31">
      <formula>F29&gt;0</formula>
    </cfRule>
    <cfRule type="expression" dxfId="2388" priority="32">
      <formula>F29&lt;0</formula>
    </cfRule>
  </conditionalFormatting>
  <conditionalFormatting sqref="F29 F31:F35">
    <cfRule type="expression" dxfId="2387" priority="33">
      <formula>F29&gt;0</formula>
    </cfRule>
    <cfRule type="expression" dxfId="2386" priority="34">
      <formula>F29&lt;0</formula>
    </cfRule>
  </conditionalFormatting>
  <conditionalFormatting sqref="H29 H31:H35">
    <cfRule type="expression" dxfId="2385" priority="29">
      <formula>H29&gt;0</formula>
    </cfRule>
    <cfRule type="expression" dxfId="2384" priority="30">
      <formula>H29&lt;0</formula>
    </cfRule>
  </conditionalFormatting>
  <conditionalFormatting sqref="F21:F28">
    <cfRule type="expression" dxfId="2383" priority="27">
      <formula>F21&gt;0</formula>
    </cfRule>
    <cfRule type="expression" dxfId="2382" priority="28">
      <formula>F21&lt;0</formula>
    </cfRule>
  </conditionalFormatting>
  <conditionalFormatting sqref="H21:H28">
    <cfRule type="expression" dxfId="2381" priority="25">
      <formula>H21&gt;0</formula>
    </cfRule>
    <cfRule type="expression" dxfId="2380" priority="26">
      <formula>H21&lt;0</formula>
    </cfRule>
  </conditionalFormatting>
  <conditionalFormatting sqref="Q8">
    <cfRule type="expression" dxfId="2379" priority="21">
      <formula>Q8&gt;0</formula>
    </cfRule>
    <cfRule type="expression" dxfId="2378" priority="22">
      <formula>Q8&lt;0</formula>
    </cfRule>
  </conditionalFormatting>
  <conditionalFormatting sqref="Q7">
    <cfRule type="expression" dxfId="2377" priority="23">
      <formula>Q7&gt;0</formula>
    </cfRule>
    <cfRule type="expression" dxfId="2376" priority="24">
      <formula>Q7&lt;0</formula>
    </cfRule>
  </conditionalFormatting>
  <conditionalFormatting sqref="F30">
    <cfRule type="expression" dxfId="2375" priority="19">
      <formula>F30&gt;0</formula>
    </cfRule>
    <cfRule type="expression" dxfId="2374" priority="20">
      <formula>F30&lt;0</formula>
    </cfRule>
  </conditionalFormatting>
  <conditionalFormatting sqref="H30">
    <cfRule type="expression" dxfId="2373" priority="17">
      <formula>H30&gt;0</formula>
    </cfRule>
    <cfRule type="expression" dxfId="2372" priority="18">
      <formula>H30&lt;0</formula>
    </cfRule>
  </conditionalFormatting>
  <conditionalFormatting sqref="F68 F70:F74">
    <cfRule type="expression" dxfId="2371" priority="13">
      <formula>F68&gt;0</formula>
    </cfRule>
    <cfRule type="expression" dxfId="2370" priority="14">
      <formula>F68&lt;0</formula>
    </cfRule>
  </conditionalFormatting>
  <conditionalFormatting sqref="F68 F70:F74">
    <cfRule type="expression" dxfId="2369" priority="15">
      <formula>F68&gt;0</formula>
    </cfRule>
    <cfRule type="expression" dxfId="2368" priority="16">
      <formula>F68&lt;0</formula>
    </cfRule>
  </conditionalFormatting>
  <conditionalFormatting sqref="H68 H70:H74">
    <cfRule type="expression" dxfId="2367" priority="11">
      <formula>H68&gt;0</formula>
    </cfRule>
    <cfRule type="expression" dxfId="2366" priority="12">
      <formula>H68&lt;0</formula>
    </cfRule>
  </conditionalFormatting>
  <conditionalFormatting sqref="F60:F67">
    <cfRule type="expression" dxfId="2365" priority="9">
      <formula>F60&gt;0</formula>
    </cfRule>
    <cfRule type="expression" dxfId="2364" priority="10">
      <formula>F60&lt;0</formula>
    </cfRule>
  </conditionalFormatting>
  <conditionalFormatting sqref="H60:H67">
    <cfRule type="expression" dxfId="2363" priority="7">
      <formula>H60&gt;0</formula>
    </cfRule>
    <cfRule type="expression" dxfId="2362" priority="8">
      <formula>H60&lt;0</formula>
    </cfRule>
  </conditionalFormatting>
  <conditionalFormatting sqref="F69">
    <cfRule type="expression" dxfId="2361" priority="5">
      <formula>F69&gt;0</formula>
    </cfRule>
    <cfRule type="expression" dxfId="2360" priority="6">
      <formula>F69&lt;0</formula>
    </cfRule>
  </conditionalFormatting>
  <conditionalFormatting sqref="H69">
    <cfRule type="expression" dxfId="2359" priority="3">
      <formula>H69&gt;0</formula>
    </cfRule>
    <cfRule type="expression" dxfId="2358" priority="4">
      <formula>H69&lt;0</formula>
    </cfRule>
  </conditionalFormatting>
  <conditionalFormatting sqref="Q10">
    <cfRule type="expression" dxfId="2357" priority="1">
      <formula>Q10&gt;0</formula>
    </cfRule>
    <cfRule type="expression" dxfId="2356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36.82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36.82</v>
      </c>
      <c r="R4" s="486">
        <v>-2.1499999999999998E-2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275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289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11" t="s">
        <v>78</v>
      </c>
      <c r="P40" s="811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40.502000000000002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40.133800000000001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39.765600000000006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39.397400000000005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39.029200000000003</v>
      </c>
      <c r="Q45" s="2"/>
      <c r="T45" s="91" t="s">
        <v>99</v>
      </c>
      <c r="U45" s="127" t="s">
        <v>599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269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38.661000000000001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38.2928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37.924599999999998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37.556400000000004</v>
      </c>
      <c r="Q49" s="2"/>
      <c r="T49" s="91" t="s">
        <v>121</v>
      </c>
      <c r="U49" s="127" t="s">
        <v>434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37.188200000000002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36.82</v>
      </c>
      <c r="Q51" s="2"/>
      <c r="T51" s="91" t="s">
        <v>104</v>
      </c>
      <c r="U51" s="127" t="s">
        <v>600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36.451799999999999</v>
      </c>
      <c r="Q52" s="2"/>
      <c r="T52" s="91" t="s">
        <v>105</v>
      </c>
      <c r="U52" s="127" t="s">
        <v>548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36.083599999999997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35.715400000000002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35.347200000000001</v>
      </c>
      <c r="T55" s="91" t="s">
        <v>107</v>
      </c>
      <c r="U55" s="127" t="s">
        <v>601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34.978999999999999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34.610799999999998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34.242600000000003</v>
      </c>
      <c r="T58" s="91" t="s">
        <v>108</v>
      </c>
      <c r="U58" s="127" t="s">
        <v>549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33.874400000000001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33.5062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33.137999999999998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49" t="s">
        <v>194</v>
      </c>
      <c r="B63" s="450"/>
      <c r="C63" s="451">
        <f>SumByColor($A$19,C46:C61)</f>
        <v>0</v>
      </c>
      <c r="D63" s="451"/>
      <c r="E63" s="451"/>
      <c r="F63" s="452">
        <f>SumByColor($A$19,F46:F61)</f>
        <v>0</v>
      </c>
      <c r="G63" s="451"/>
      <c r="H63" s="451">
        <f>SumByColor($A$19,H46:H61)</f>
        <v>0</v>
      </c>
      <c r="I63" s="451"/>
      <c r="J63" s="451"/>
      <c r="K63" s="452">
        <f>SumByColor($A$19,K46:K61)</f>
        <v>0</v>
      </c>
      <c r="L63" s="451"/>
      <c r="M63" s="45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55" priority="11">
      <formula>F33&gt;0</formula>
    </cfRule>
    <cfRule type="expression" dxfId="2354" priority="12">
      <formula>F33&lt;0</formula>
    </cfRule>
  </conditionalFormatting>
  <conditionalFormatting sqref="Q7">
    <cfRule type="expression" dxfId="2353" priority="9">
      <formula>Q7&gt;0</formula>
    </cfRule>
    <cfRule type="expression" dxfId="2352" priority="10">
      <formula>Q7&lt;0</formula>
    </cfRule>
  </conditionalFormatting>
  <conditionalFormatting sqref="Q8">
    <cfRule type="expression" dxfId="2351" priority="7">
      <formula>Q8&gt;0</formula>
    </cfRule>
    <cfRule type="expression" dxfId="2350" priority="8">
      <formula>Q8&lt;0</formula>
    </cfRule>
  </conditionalFormatting>
  <conditionalFormatting sqref="F25:F32">
    <cfRule type="expression" dxfId="2349" priority="5">
      <formula>F25&gt;0</formula>
    </cfRule>
    <cfRule type="expression" dxfId="2348" priority="6">
      <formula>F25&lt;0</formula>
    </cfRule>
  </conditionalFormatting>
  <conditionalFormatting sqref="H25:H32">
    <cfRule type="expression" dxfId="2347" priority="3">
      <formula>H25&gt;0</formula>
    </cfRule>
    <cfRule type="expression" dxfId="2346" priority="4">
      <formula>H25&lt;0</formula>
    </cfRule>
  </conditionalFormatting>
  <conditionalFormatting sqref="Q10">
    <cfRule type="expression" dxfId="2345" priority="1">
      <formula>Q10&gt;0</formula>
    </cfRule>
    <cfRule type="expression" dxfId="2344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333</v>
      </c>
      <c r="B2" s="44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4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465</v>
      </c>
      <c r="X2" s="134"/>
    </row>
    <row r="3" spans="1:24" x14ac:dyDescent="0.25">
      <c r="A3" s="22" t="s">
        <v>71</v>
      </c>
      <c r="B3" s="44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7">
        <f>IF(Q2=0, Q4, (F18-K18-M18)/Q2)</f>
        <v>13.059716666666667</v>
      </c>
      <c r="T3" s="581" t="s">
        <v>490</v>
      </c>
      <c r="X3" s="134"/>
    </row>
    <row r="4" spans="1:24" x14ac:dyDescent="0.25">
      <c r="B4" s="44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3">
        <v>9</v>
      </c>
      <c r="R4" s="486">
        <v>-3.2300000000000002E-2</v>
      </c>
      <c r="T4" s="159" t="s">
        <v>491</v>
      </c>
      <c r="U4" s="1"/>
      <c r="X4" s="134"/>
    </row>
    <row r="5" spans="1:24" x14ac:dyDescent="0.25">
      <c r="A5" s="1"/>
      <c r="B5" s="44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5400</v>
      </c>
      <c r="T5" t="s">
        <v>492</v>
      </c>
      <c r="X5" s="134"/>
    </row>
    <row r="6" spans="1:24" x14ac:dyDescent="0.25">
      <c r="B6" s="44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-1152.4100000000053</v>
      </c>
      <c r="R7">
        <v>300</v>
      </c>
      <c r="T7" s="1">
        <v>43453</v>
      </c>
      <c r="U7" t="s">
        <v>888</v>
      </c>
      <c r="X7" s="134"/>
    </row>
    <row r="8" spans="1:24" x14ac:dyDescent="0.25">
      <c r="B8" s="44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-2435.83</v>
      </c>
      <c r="X8" s="134"/>
    </row>
    <row r="9" spans="1:24" x14ac:dyDescent="0.25">
      <c r="B9" s="44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-0.31085794357457985</v>
      </c>
      <c r="T9" s="29">
        <v>43103</v>
      </c>
      <c r="U9" t="s">
        <v>878</v>
      </c>
      <c r="X9" s="134"/>
    </row>
    <row r="10" spans="1:24" x14ac:dyDescent="0.25">
      <c r="A10" t="s">
        <v>829</v>
      </c>
      <c r="B10" s="44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879</v>
      </c>
      <c r="X10" s="134"/>
    </row>
    <row r="11" spans="1:24" x14ac:dyDescent="0.25">
      <c r="B11" s="44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880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5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889</v>
      </c>
      <c r="X13" s="134"/>
    </row>
    <row r="14" spans="1:24" x14ac:dyDescent="0.25">
      <c r="B14" s="485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11" t="s">
        <v>78</v>
      </c>
      <c r="P15" s="811"/>
      <c r="T15" s="1">
        <v>43114</v>
      </c>
      <c r="U15" t="s">
        <v>921</v>
      </c>
      <c r="X15" s="134"/>
    </row>
    <row r="16" spans="1:24" ht="15.75" thickTop="1" x14ac:dyDescent="0.25">
      <c r="H16" s="70"/>
      <c r="O16" s="81">
        <v>1.1499999999999999</v>
      </c>
      <c r="P16" s="81">
        <f t="shared" ref="P16:P18" si="4">O16*$Q$4</f>
        <v>10.35</v>
      </c>
      <c r="U16" s="486" t="s">
        <v>922</v>
      </c>
      <c r="X16" s="134"/>
    </row>
    <row r="17" spans="1:24" x14ac:dyDescent="0.25">
      <c r="O17" s="81">
        <v>1.1399999999999999</v>
      </c>
      <c r="P17" s="81">
        <f t="shared" si="4"/>
        <v>10.26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1.1299999999999999</v>
      </c>
      <c r="P18" s="81">
        <f t="shared" si="4"/>
        <v>10.169999999999998</v>
      </c>
      <c r="T18" s="1">
        <v>43140</v>
      </c>
      <c r="U18" t="s">
        <v>980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1.1200000000000001</v>
      </c>
      <c r="P19" s="81">
        <f t="shared" ref="P19:P23" si="5">O19*$Q$4</f>
        <v>10.080000000000002</v>
      </c>
      <c r="X19" s="134"/>
    </row>
    <row r="20" spans="1:24" x14ac:dyDescent="0.25">
      <c r="O20" s="81">
        <v>1.1100000000000001</v>
      </c>
      <c r="P20" s="81">
        <f t="shared" si="5"/>
        <v>9.99</v>
      </c>
      <c r="T20" s="1">
        <v>43152</v>
      </c>
      <c r="U20" t="s">
        <v>984</v>
      </c>
      <c r="X20" s="134"/>
    </row>
    <row r="21" spans="1:24" x14ac:dyDescent="0.25">
      <c r="O21" s="81">
        <v>1.1000000000000001</v>
      </c>
      <c r="P21" s="81">
        <f t="shared" si="5"/>
        <v>9.9</v>
      </c>
      <c r="X21" s="134"/>
    </row>
    <row r="22" spans="1:24" x14ac:dyDescent="0.25">
      <c r="O22" s="81">
        <v>1.0900000000000001</v>
      </c>
      <c r="P22" s="81">
        <f t="shared" si="5"/>
        <v>9.81</v>
      </c>
      <c r="T22" s="1">
        <v>43160</v>
      </c>
      <c r="U22" t="s">
        <v>928</v>
      </c>
      <c r="X22" s="134"/>
    </row>
    <row r="23" spans="1:24" x14ac:dyDescent="0.25">
      <c r="O23" s="81">
        <v>1.08</v>
      </c>
      <c r="P23" s="81">
        <f t="shared" si="5"/>
        <v>9.7200000000000006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513</v>
      </c>
      <c r="O24" s="81">
        <v>1.07</v>
      </c>
      <c r="P24" s="81">
        <f t="shared" ref="P24:P26" si="6">O24*$Q$4</f>
        <v>9.6300000000000008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6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9.5400000000000009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6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9.4500000000000011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6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9.36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6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9.27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6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9.18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6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9.09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6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9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6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8.91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6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8.82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6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8.73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6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8.64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6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8.5499999999999989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6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8.4599999999999991</v>
      </c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6">
        <f t="shared" si="22"/>
        <v>-9.2027895528510886E-2</v>
      </c>
      <c r="I38" s="522" t="s">
        <v>962</v>
      </c>
      <c r="J38" s="39">
        <v>880</v>
      </c>
      <c r="K38" s="39"/>
      <c r="L38" s="4"/>
      <c r="O38" s="81">
        <v>0.93</v>
      </c>
      <c r="P38" s="81">
        <f t="shared" si="19"/>
        <v>8.370000000000001</v>
      </c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6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8.2800000000000011</v>
      </c>
      <c r="X39" s="134"/>
    </row>
    <row r="40" spans="1:24" x14ac:dyDescent="0.25">
      <c r="A40" s="4">
        <v>0</v>
      </c>
      <c r="B40" s="188">
        <v>43108</v>
      </c>
      <c r="C40" s="566">
        <v>600</v>
      </c>
      <c r="D40" s="593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6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8.19</v>
      </c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6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8.1</v>
      </c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6">
        <f t="shared" si="25"/>
        <v>-0.12763875297078142</v>
      </c>
      <c r="I42" s="522" t="s">
        <v>963</v>
      </c>
      <c r="J42" s="39">
        <v>736</v>
      </c>
      <c r="K42" s="39"/>
      <c r="L42" s="4"/>
      <c r="O42" s="81">
        <v>0.89</v>
      </c>
      <c r="P42" s="81">
        <f t="shared" ref="P42:P44" si="26">O42*$Q$4</f>
        <v>8.01</v>
      </c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6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7.92</v>
      </c>
      <c r="Q43" s="2"/>
      <c r="X43" s="134"/>
    </row>
    <row r="44" spans="1:24" x14ac:dyDescent="0.25">
      <c r="A44" s="4"/>
      <c r="B44" s="188">
        <v>43132</v>
      </c>
      <c r="C44" s="566">
        <v>600</v>
      </c>
      <c r="D44" s="593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6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7.83</v>
      </c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6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>
        <v>43151</v>
      </c>
      <c r="C46" s="10">
        <v>600</v>
      </c>
      <c r="D46" s="195">
        <v>13.06</v>
      </c>
      <c r="E46" s="39">
        <v>10.18</v>
      </c>
      <c r="F46" s="39">
        <f t="shared" ref="F46:F47" si="27">C46*(E46-D46)</f>
        <v>-1728.0000000000005</v>
      </c>
      <c r="G46" s="39">
        <f t="shared" ref="G46:G47" si="28">D46*C46</f>
        <v>7836</v>
      </c>
      <c r="H46" s="226">
        <f t="shared" ref="H46:H47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8">
        <v>43158</v>
      </c>
      <c r="C47" s="10">
        <v>600</v>
      </c>
      <c r="D47" s="195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6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497</v>
      </c>
      <c r="T47" s="581" t="s">
        <v>490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501</v>
      </c>
      <c r="T48" s="22" t="s">
        <v>500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502</v>
      </c>
      <c r="T49" s="22" t="s">
        <v>503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504</v>
      </c>
      <c r="T50" s="22" t="s">
        <v>505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508</v>
      </c>
      <c r="T53" s="22" t="s">
        <v>498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507</v>
      </c>
      <c r="T54" s="22" t="s">
        <v>499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506</v>
      </c>
      <c r="T55" s="22" t="s">
        <v>509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4" t="s">
        <v>1</v>
      </c>
      <c r="B59" s="524" t="s">
        <v>2</v>
      </c>
      <c r="C59" s="524" t="s">
        <v>4</v>
      </c>
      <c r="D59" s="525" t="s">
        <v>5</v>
      </c>
      <c r="E59" s="525" t="s">
        <v>94</v>
      </c>
      <c r="F59" s="525" t="s">
        <v>60</v>
      </c>
      <c r="G59" s="524" t="s">
        <v>3</v>
      </c>
      <c r="H59" s="524" t="s">
        <v>6</v>
      </c>
      <c r="I59" s="525" t="s">
        <v>7</v>
      </c>
      <c r="J59" s="525" t="s">
        <v>95</v>
      </c>
      <c r="K59" s="525" t="s">
        <v>61</v>
      </c>
      <c r="L59" s="524" t="s">
        <v>37</v>
      </c>
      <c r="M59" s="524" t="s">
        <v>38</v>
      </c>
      <c r="O59" s="81"/>
      <c r="P59" s="81"/>
      <c r="X59" s="134"/>
    </row>
    <row r="60" spans="1:24" x14ac:dyDescent="0.25">
      <c r="A60" s="526" t="s">
        <v>286</v>
      </c>
      <c r="B60" s="509">
        <v>42639</v>
      </c>
      <c r="C60" s="510">
        <v>80</v>
      </c>
      <c r="D60" s="512">
        <v>26.38</v>
      </c>
      <c r="E60" s="512">
        <v>0</v>
      </c>
      <c r="F60" s="512">
        <f>C60*D60+E60</f>
        <v>2110.4</v>
      </c>
      <c r="G60" s="509">
        <v>42677</v>
      </c>
      <c r="H60" s="527">
        <v>100</v>
      </c>
      <c r="I60" s="512">
        <v>26.49</v>
      </c>
      <c r="J60" s="512">
        <v>0.56000000000000005</v>
      </c>
      <c r="K60" s="512">
        <f>I60*H60-J60</f>
        <v>2648.44</v>
      </c>
      <c r="L60" s="509"/>
      <c r="M60" s="512"/>
      <c r="O60" s="81"/>
      <c r="P60" s="81"/>
      <c r="X60" s="134"/>
    </row>
    <row r="61" spans="1:24" x14ac:dyDescent="0.25">
      <c r="A61" s="528" t="s">
        <v>71</v>
      </c>
      <c r="B61" s="509">
        <v>42639</v>
      </c>
      <c r="C61" s="510">
        <v>20</v>
      </c>
      <c r="D61" s="512">
        <v>25.48</v>
      </c>
      <c r="E61" s="512">
        <v>0</v>
      </c>
      <c r="F61" s="512">
        <f>C61*D61+E61</f>
        <v>509.6</v>
      </c>
      <c r="G61" s="509">
        <v>42678</v>
      </c>
      <c r="H61" s="527">
        <v>20</v>
      </c>
      <c r="I61" s="512">
        <v>27.31</v>
      </c>
      <c r="J61" s="512">
        <v>0.01</v>
      </c>
      <c r="K61" s="512">
        <f>I61*H61-J61</f>
        <v>546.18999999999994</v>
      </c>
      <c r="L61" s="510"/>
      <c r="M61" s="510"/>
      <c r="X61" s="134"/>
    </row>
    <row r="62" spans="1:24" x14ac:dyDescent="0.25">
      <c r="A62" s="510"/>
      <c r="B62" s="509">
        <v>42639</v>
      </c>
      <c r="C62" s="510">
        <v>20</v>
      </c>
      <c r="D62" s="512">
        <v>25.48</v>
      </c>
      <c r="E62" s="512">
        <v>0</v>
      </c>
      <c r="F62" s="512">
        <f>C62*D62+E62</f>
        <v>509.6</v>
      </c>
      <c r="G62" s="509">
        <v>42681</v>
      </c>
      <c r="H62" s="527">
        <v>80</v>
      </c>
      <c r="I62" s="512">
        <v>28.17</v>
      </c>
      <c r="J62" s="512">
        <v>0.05</v>
      </c>
      <c r="K62" s="512">
        <f>I62*H62-J62</f>
        <v>2253.5500000000002</v>
      </c>
      <c r="L62" s="510"/>
      <c r="M62" s="510"/>
      <c r="X62" s="134"/>
    </row>
    <row r="63" spans="1:24" x14ac:dyDescent="0.25">
      <c r="A63" s="510"/>
      <c r="B63" s="509">
        <v>42649</v>
      </c>
      <c r="C63" s="510">
        <v>80</v>
      </c>
      <c r="D63" s="512">
        <v>24.67</v>
      </c>
      <c r="E63" s="512">
        <v>0</v>
      </c>
      <c r="F63" s="512">
        <f>C63*D63+E63</f>
        <v>1973.6000000000001</v>
      </c>
      <c r="G63" s="510"/>
      <c r="H63" s="527"/>
      <c r="I63" s="512"/>
      <c r="J63" s="512"/>
      <c r="K63" s="512"/>
      <c r="L63" s="510"/>
      <c r="M63" s="510"/>
      <c r="X63" s="134"/>
    </row>
    <row r="64" spans="1:24" x14ac:dyDescent="0.25">
      <c r="A64" s="510"/>
      <c r="B64" s="444">
        <v>42684</v>
      </c>
      <c r="C64" s="7">
        <v>100</v>
      </c>
      <c r="D64" s="43">
        <v>22.54</v>
      </c>
      <c r="E64" s="43">
        <v>0</v>
      </c>
      <c r="F64" s="43">
        <f t="shared" ref="F64:F74" si="30">D64*C64+E64</f>
        <v>2254</v>
      </c>
      <c r="G64" s="44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31">I64*H64-J64</f>
        <v>2197.4499999999998</v>
      </c>
      <c r="L64" s="72"/>
      <c r="M64" s="3"/>
      <c r="X64" s="134"/>
    </row>
    <row r="65" spans="1:24" x14ac:dyDescent="0.25">
      <c r="A65" s="510"/>
      <c r="B65" s="444">
        <v>42685</v>
      </c>
      <c r="C65" s="7">
        <v>100</v>
      </c>
      <c r="D65" s="43">
        <v>21.28</v>
      </c>
      <c r="E65" s="43">
        <v>0</v>
      </c>
      <c r="F65" s="43">
        <f t="shared" si="30"/>
        <v>2128</v>
      </c>
      <c r="G65" s="444">
        <v>42766</v>
      </c>
      <c r="H65" s="80">
        <v>100</v>
      </c>
      <c r="I65" s="43">
        <v>21.22</v>
      </c>
      <c r="J65" s="43">
        <v>0.05</v>
      </c>
      <c r="K65" s="43">
        <f t="shared" si="31"/>
        <v>2121.9499999999998</v>
      </c>
      <c r="L65" s="4"/>
      <c r="M65" s="4"/>
      <c r="X65" s="134"/>
    </row>
    <row r="66" spans="1:24" x14ac:dyDescent="0.25">
      <c r="A66" s="510"/>
      <c r="B66" s="444">
        <v>42706</v>
      </c>
      <c r="C66" s="7">
        <v>100</v>
      </c>
      <c r="D66" s="43">
        <v>21.13</v>
      </c>
      <c r="E66" s="43">
        <v>0</v>
      </c>
      <c r="F66" s="43">
        <f t="shared" si="30"/>
        <v>2113</v>
      </c>
      <c r="G66" s="444">
        <v>42766</v>
      </c>
      <c r="H66" s="80">
        <v>100</v>
      </c>
      <c r="I66" s="43">
        <v>21.58</v>
      </c>
      <c r="J66" s="43">
        <v>0.05</v>
      </c>
      <c r="K66" s="43">
        <f t="shared" si="31"/>
        <v>2157.9499999999998</v>
      </c>
      <c r="L66" s="4"/>
      <c r="M66" s="4"/>
      <c r="X66" s="134"/>
    </row>
    <row r="67" spans="1:24" x14ac:dyDescent="0.25">
      <c r="A67" s="510"/>
      <c r="B67" s="444">
        <v>42732</v>
      </c>
      <c r="C67" s="7">
        <v>100</v>
      </c>
      <c r="D67" s="43">
        <v>21.06</v>
      </c>
      <c r="E67" s="43">
        <v>0</v>
      </c>
      <c r="F67" s="43">
        <f t="shared" si="30"/>
        <v>2106</v>
      </c>
      <c r="G67" s="444">
        <v>42828</v>
      </c>
      <c r="H67" s="80">
        <v>200</v>
      </c>
      <c r="I67" s="43">
        <v>19.98</v>
      </c>
      <c r="J67" s="43">
        <v>1.0900000000000001</v>
      </c>
      <c r="K67" s="43">
        <f t="shared" si="31"/>
        <v>3994.91</v>
      </c>
      <c r="L67" s="4"/>
      <c r="M67" s="4"/>
      <c r="X67" s="134"/>
    </row>
    <row r="68" spans="1:24" x14ac:dyDescent="0.25">
      <c r="A68" s="510"/>
      <c r="B68" s="444">
        <v>42746</v>
      </c>
      <c r="C68" s="7">
        <v>100</v>
      </c>
      <c r="D68" s="43">
        <v>20.18</v>
      </c>
      <c r="E68" s="43">
        <v>0</v>
      </c>
      <c r="F68" s="43">
        <f t="shared" si="30"/>
        <v>2018</v>
      </c>
      <c r="G68" s="444">
        <v>42828</v>
      </c>
      <c r="H68" s="80">
        <v>200</v>
      </c>
      <c r="I68" s="43">
        <v>20.71</v>
      </c>
      <c r="J68" s="43">
        <v>0.09</v>
      </c>
      <c r="K68" s="43">
        <f t="shared" si="31"/>
        <v>4141.91</v>
      </c>
      <c r="L68" s="4"/>
      <c r="M68" s="4"/>
      <c r="X68" s="134"/>
    </row>
    <row r="69" spans="1:24" x14ac:dyDescent="0.25">
      <c r="A69" s="510"/>
      <c r="B69" s="444">
        <v>42753</v>
      </c>
      <c r="C69" s="7">
        <v>100</v>
      </c>
      <c r="D69" s="43">
        <v>20.28</v>
      </c>
      <c r="E69" s="43">
        <v>0</v>
      </c>
      <c r="F69" s="43">
        <f t="shared" si="30"/>
        <v>2028</v>
      </c>
      <c r="G69" s="444">
        <v>42830</v>
      </c>
      <c r="H69" s="80">
        <v>100</v>
      </c>
      <c r="I69" s="43">
        <v>20.04</v>
      </c>
      <c r="J69" s="43">
        <v>0.04</v>
      </c>
      <c r="K69" s="43">
        <f t="shared" si="31"/>
        <v>2003.96</v>
      </c>
      <c r="L69" s="4"/>
      <c r="M69" s="4"/>
      <c r="X69" s="134"/>
    </row>
    <row r="70" spans="1:24" x14ac:dyDescent="0.25">
      <c r="A70" s="510"/>
      <c r="B70" s="444">
        <v>42754</v>
      </c>
      <c r="C70" s="7">
        <v>100</v>
      </c>
      <c r="D70" s="43">
        <v>20.079999999999998</v>
      </c>
      <c r="E70" s="43">
        <v>0</v>
      </c>
      <c r="F70" s="43">
        <f t="shared" si="30"/>
        <v>2007.9999999999998</v>
      </c>
      <c r="G70" s="444">
        <v>42831</v>
      </c>
      <c r="H70" s="80">
        <v>100</v>
      </c>
      <c r="I70" s="43">
        <v>20.420000000000002</v>
      </c>
      <c r="J70" s="43">
        <v>0.04</v>
      </c>
      <c r="K70" s="43">
        <f t="shared" si="31"/>
        <v>2041.9600000000003</v>
      </c>
      <c r="L70" s="4"/>
      <c r="M70" s="4"/>
    </row>
    <row r="71" spans="1:24" x14ac:dyDescent="0.25">
      <c r="A71" s="510"/>
      <c r="B71" s="444">
        <v>42768</v>
      </c>
      <c r="C71" s="7">
        <v>100</v>
      </c>
      <c r="D71" s="43">
        <v>20.68</v>
      </c>
      <c r="E71" s="43">
        <v>0</v>
      </c>
      <c r="F71" s="43">
        <f t="shared" si="30"/>
        <v>2068</v>
      </c>
      <c r="G71" s="444">
        <v>42852</v>
      </c>
      <c r="H71" s="80">
        <v>100</v>
      </c>
      <c r="I71" s="43">
        <v>21.87</v>
      </c>
      <c r="J71" s="43">
        <v>0.55000000000000004</v>
      </c>
      <c r="K71" s="43">
        <f t="shared" si="31"/>
        <v>2186.4499999999998</v>
      </c>
      <c r="L71" s="4"/>
      <c r="M71" s="4"/>
    </row>
    <row r="72" spans="1:24" x14ac:dyDescent="0.25">
      <c r="A72" s="510"/>
      <c r="B72" s="444">
        <v>42773</v>
      </c>
      <c r="C72" s="7">
        <v>100</v>
      </c>
      <c r="D72" s="43">
        <v>19.48</v>
      </c>
      <c r="E72" s="43">
        <v>0</v>
      </c>
      <c r="F72" s="43">
        <f t="shared" si="30"/>
        <v>1948</v>
      </c>
      <c r="G72" s="444">
        <v>42864</v>
      </c>
      <c r="H72" s="80">
        <v>200</v>
      </c>
      <c r="I72" s="43">
        <v>22.46</v>
      </c>
      <c r="J72" s="43">
        <v>1.1000000000000001</v>
      </c>
      <c r="K72" s="43">
        <f t="shared" si="31"/>
        <v>4490.8999999999996</v>
      </c>
    </row>
    <row r="73" spans="1:24" x14ac:dyDescent="0.25">
      <c r="A73" s="510"/>
      <c r="B73" s="444">
        <v>42816</v>
      </c>
      <c r="C73" s="7">
        <v>200</v>
      </c>
      <c r="D73" s="43">
        <v>18.8</v>
      </c>
      <c r="E73" s="43">
        <v>0</v>
      </c>
      <c r="F73" s="43">
        <f t="shared" si="30"/>
        <v>3760</v>
      </c>
      <c r="H73" s="70"/>
    </row>
    <row r="74" spans="1:24" x14ac:dyDescent="0.25">
      <c r="A74" s="510"/>
      <c r="B74" s="444">
        <v>42829</v>
      </c>
      <c r="C74" s="7">
        <v>100</v>
      </c>
      <c r="D74" s="43">
        <v>19.68</v>
      </c>
      <c r="E74" s="43">
        <v>0</v>
      </c>
      <c r="F74" s="43">
        <f t="shared" si="30"/>
        <v>1968</v>
      </c>
      <c r="H74" s="70"/>
    </row>
    <row r="75" spans="1:24" x14ac:dyDescent="0.25">
      <c r="A75" s="510"/>
      <c r="H75" s="70"/>
    </row>
    <row r="76" spans="1:24" x14ac:dyDescent="0.25">
      <c r="A76" s="529" t="s">
        <v>81</v>
      </c>
      <c r="B76" s="530"/>
      <c r="C76" s="530">
        <f>SUM(C60:C75)</f>
        <v>1400</v>
      </c>
      <c r="D76" s="531"/>
      <c r="E76" s="531"/>
      <c r="F76" s="531">
        <f>SUM(F60:F75)</f>
        <v>29502.2</v>
      </c>
      <c r="G76" s="530"/>
      <c r="H76" s="552">
        <f>SUM(H60:H75)</f>
        <v>1400</v>
      </c>
      <c r="I76" s="531"/>
      <c r="J76" s="531"/>
      <c r="K76" s="531">
        <f>SUM(K60:K75)</f>
        <v>30785.619999999995</v>
      </c>
      <c r="L76" s="530"/>
      <c r="M76" s="531">
        <f>SUM(M60:M68)</f>
        <v>0</v>
      </c>
    </row>
    <row r="77" spans="1:24" ht="15.75" thickBot="1" x14ac:dyDescent="0.3">
      <c r="A77" s="532" t="s">
        <v>194</v>
      </c>
      <c r="B77" s="533"/>
      <c r="C77" s="534">
        <f>SumByColor($A$19,C60:C75)</f>
        <v>1200</v>
      </c>
      <c r="D77" s="534"/>
      <c r="E77" s="534"/>
      <c r="F77" s="535">
        <f>SumByColor($A$19,F60:F75)</f>
        <v>24399</v>
      </c>
      <c r="G77" s="534"/>
      <c r="H77" s="534">
        <f>SumByColor($A$19,H60:H75)</f>
        <v>1200</v>
      </c>
      <c r="I77" s="534"/>
      <c r="J77" s="534"/>
      <c r="K77" s="535">
        <f>SumByColor($A$19,K60:K75)</f>
        <v>25337</v>
      </c>
      <c r="L77" s="534"/>
      <c r="M77" s="535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69">
        <v>42639</v>
      </c>
      <c r="C83" s="370">
        <v>80</v>
      </c>
      <c r="D83" s="371">
        <v>26.38</v>
      </c>
      <c r="E83" s="371">
        <v>25.53</v>
      </c>
      <c r="F83" s="371">
        <f t="shared" ref="F83:F92" si="32">C83*(E83-D83)</f>
        <v>-67.999999999999829</v>
      </c>
      <c r="G83" s="371">
        <f t="shared" ref="G83:G92" si="33">D83*C83</f>
        <v>2110.4</v>
      </c>
      <c r="H83" s="372">
        <f t="shared" ref="H83:H92" si="34">(E83-D83)/D83</f>
        <v>-3.2221379833206894E-2</v>
      </c>
      <c r="I83" s="371"/>
    </row>
    <row r="84" spans="2:11" x14ac:dyDescent="0.25">
      <c r="B84" s="369">
        <v>42639</v>
      </c>
      <c r="C84" s="370">
        <v>120</v>
      </c>
      <c r="D84" s="371">
        <v>26.08</v>
      </c>
      <c r="E84" s="371">
        <v>25.53</v>
      </c>
      <c r="F84" s="371">
        <f t="shared" si="32"/>
        <v>-65.999999999999659</v>
      </c>
      <c r="G84" s="371">
        <f t="shared" si="33"/>
        <v>3129.6</v>
      </c>
      <c r="H84" s="372">
        <f t="shared" si="34"/>
        <v>-2.1088957055214616E-2</v>
      </c>
      <c r="I84" s="371"/>
    </row>
    <row r="85" spans="2:11" x14ac:dyDescent="0.25">
      <c r="B85" s="369">
        <v>42641</v>
      </c>
      <c r="C85" s="370">
        <v>120</v>
      </c>
      <c r="D85" s="371">
        <v>26.08</v>
      </c>
      <c r="E85" s="371">
        <v>26</v>
      </c>
      <c r="F85" s="371">
        <f t="shared" si="32"/>
        <v>-9.5999999999997954</v>
      </c>
      <c r="G85" s="371">
        <f t="shared" si="33"/>
        <v>3129.6</v>
      </c>
      <c r="H85" s="372">
        <f t="shared" si="34"/>
        <v>-3.0674846625766221E-3</v>
      </c>
      <c r="I85" s="371"/>
    </row>
    <row r="86" spans="2:11" x14ac:dyDescent="0.25">
      <c r="B86" s="369">
        <v>42643</v>
      </c>
      <c r="C86" s="370">
        <v>120</v>
      </c>
      <c r="D86" s="371">
        <v>26.08</v>
      </c>
      <c r="E86" s="371">
        <v>26.59</v>
      </c>
      <c r="F86" s="371">
        <f t="shared" si="32"/>
        <v>61.200000000000188</v>
      </c>
      <c r="G86" s="371">
        <f t="shared" si="33"/>
        <v>3129.6</v>
      </c>
      <c r="H86" s="372">
        <f t="shared" si="34"/>
        <v>1.9555214723926441E-2</v>
      </c>
      <c r="I86" s="371"/>
    </row>
    <row r="87" spans="2:11" x14ac:dyDescent="0.25">
      <c r="B87" s="369">
        <v>42649</v>
      </c>
      <c r="C87" s="370">
        <v>200</v>
      </c>
      <c r="D87" s="371">
        <v>25.515999999999998</v>
      </c>
      <c r="E87" s="371">
        <v>25.21</v>
      </c>
      <c r="F87" s="371">
        <f t="shared" si="32"/>
        <v>-61.199999999999477</v>
      </c>
      <c r="G87" s="371">
        <f t="shared" si="33"/>
        <v>5103.2</v>
      </c>
      <c r="H87" s="372">
        <f t="shared" si="34"/>
        <v>-1.1992475309609556E-2</v>
      </c>
      <c r="I87" s="371"/>
    </row>
    <row r="88" spans="2:11" x14ac:dyDescent="0.25">
      <c r="B88" s="369">
        <v>42650</v>
      </c>
      <c r="C88" s="370">
        <v>200</v>
      </c>
      <c r="D88" s="371">
        <v>25.515999999999998</v>
      </c>
      <c r="E88" s="371">
        <v>25.33</v>
      </c>
      <c r="F88" s="371">
        <f t="shared" si="32"/>
        <v>-37.199999999999989</v>
      </c>
      <c r="G88" s="371">
        <f t="shared" si="33"/>
        <v>5103.2</v>
      </c>
      <c r="H88" s="372">
        <f t="shared" si="34"/>
        <v>-7.2895438156450835E-3</v>
      </c>
      <c r="I88" s="371"/>
    </row>
    <row r="89" spans="2:11" x14ac:dyDescent="0.25">
      <c r="B89" s="369">
        <v>42661</v>
      </c>
      <c r="C89" s="370">
        <v>200</v>
      </c>
      <c r="D89" s="371">
        <v>25.515999999999998</v>
      </c>
      <c r="E89" s="371">
        <v>26.25</v>
      </c>
      <c r="F89" s="371">
        <f t="shared" si="32"/>
        <v>146.80000000000035</v>
      </c>
      <c r="G89" s="371">
        <f t="shared" si="33"/>
        <v>5103.2</v>
      </c>
      <c r="H89" s="372">
        <f t="shared" si="34"/>
        <v>2.876626430475003E-2</v>
      </c>
      <c r="I89" s="371"/>
    </row>
    <row r="90" spans="2:11" x14ac:dyDescent="0.25">
      <c r="B90" s="369">
        <v>42674</v>
      </c>
      <c r="C90" s="370">
        <v>200</v>
      </c>
      <c r="D90" s="371">
        <v>25.515999999999998</v>
      </c>
      <c r="E90" s="371">
        <v>26.42</v>
      </c>
      <c r="F90" s="371">
        <f t="shared" si="32"/>
        <v>180.80000000000069</v>
      </c>
      <c r="G90" s="371">
        <f t="shared" si="33"/>
        <v>5103.2</v>
      </c>
      <c r="H90" s="372">
        <f t="shared" si="34"/>
        <v>3.5428750587866577E-2</v>
      </c>
      <c r="I90" s="371"/>
    </row>
    <row r="91" spans="2:11" x14ac:dyDescent="0.25">
      <c r="B91" s="369">
        <v>42677</v>
      </c>
      <c r="C91" s="370">
        <v>100</v>
      </c>
      <c r="D91" s="371">
        <v>24.547599999999999</v>
      </c>
      <c r="E91" s="371">
        <v>26.69</v>
      </c>
      <c r="F91" s="371">
        <f t="shared" si="32"/>
        <v>214.24000000000021</v>
      </c>
      <c r="G91" s="371">
        <f t="shared" si="33"/>
        <v>2454.7599999999998</v>
      </c>
      <c r="H91" s="372">
        <f t="shared" si="34"/>
        <v>8.7275334452247971E-2</v>
      </c>
      <c r="I91" s="453"/>
    </row>
    <row r="92" spans="2:11" x14ac:dyDescent="0.25">
      <c r="B92" s="369">
        <v>42678</v>
      </c>
      <c r="C92" s="370">
        <v>80</v>
      </c>
      <c r="D92" s="371">
        <v>23.857099999999999</v>
      </c>
      <c r="E92" s="371">
        <v>27.24</v>
      </c>
      <c r="F92" s="371">
        <f t="shared" si="32"/>
        <v>270.63199999999995</v>
      </c>
      <c r="G92" s="371">
        <f t="shared" si="33"/>
        <v>1908.568</v>
      </c>
      <c r="H92" s="372">
        <f t="shared" si="34"/>
        <v>0.1417984583205838</v>
      </c>
      <c r="I92" s="371"/>
    </row>
    <row r="93" spans="2:11" x14ac:dyDescent="0.25">
      <c r="B93" s="369">
        <v>42681</v>
      </c>
      <c r="C93" s="370">
        <v>0</v>
      </c>
      <c r="D93" s="371"/>
      <c r="E93" s="371"/>
      <c r="F93" s="371">
        <v>344.98</v>
      </c>
      <c r="G93" s="371"/>
      <c r="H93" s="372"/>
      <c r="I93" s="371"/>
    </row>
    <row r="94" spans="2:11" x14ac:dyDescent="0.25">
      <c r="B94" s="369"/>
      <c r="C94" s="370"/>
      <c r="D94" s="371"/>
      <c r="E94" s="371"/>
      <c r="F94" s="371"/>
      <c r="G94" s="371"/>
      <c r="H94" s="372"/>
      <c r="I94" s="371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708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35">C96*(E96-D96)</f>
        <v>382</v>
      </c>
      <c r="G96" s="39">
        <f t="shared" ref="G96:G120" si="36">D96*C96</f>
        <v>4382</v>
      </c>
      <c r="H96" s="226">
        <f t="shared" ref="H96:H120" si="37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35"/>
        <v>-164.99999999999915</v>
      </c>
      <c r="G97" s="39">
        <f t="shared" si="36"/>
        <v>6495</v>
      </c>
      <c r="H97" s="226">
        <f t="shared" si="37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35"/>
        <v>98.440000000000083</v>
      </c>
      <c r="G98" s="39">
        <f t="shared" si="36"/>
        <v>4297.5600000000004</v>
      </c>
      <c r="H98" s="226">
        <f t="shared" si="37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35"/>
        <v>64.440000000000097</v>
      </c>
      <c r="G99" s="39">
        <f t="shared" si="36"/>
        <v>6403.5599999999995</v>
      </c>
      <c r="H99" s="226">
        <f t="shared" si="37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35"/>
        <v>-133.55999999999995</v>
      </c>
      <c r="G100" s="39">
        <f t="shared" si="36"/>
        <v>6403.5599999999995</v>
      </c>
      <c r="H100" s="226">
        <f t="shared" si="37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35"/>
        <v>-229.56000000000003</v>
      </c>
      <c r="G101" s="39">
        <f t="shared" si="36"/>
        <v>6403.5599999999995</v>
      </c>
      <c r="H101" s="226">
        <f t="shared" si="37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35"/>
        <v>-297.55200000000031</v>
      </c>
      <c r="G102" s="39">
        <f t="shared" si="36"/>
        <v>8421.5519999999997</v>
      </c>
      <c r="H102" s="226">
        <f t="shared" si="37"/>
        <v>-3.5332204800255382E-2</v>
      </c>
      <c r="I102" s="39"/>
      <c r="J102" s="39"/>
      <c r="K102" s="39"/>
    </row>
    <row r="103" spans="1:11" x14ac:dyDescent="0.25">
      <c r="A103" t="s">
        <v>347</v>
      </c>
      <c r="B103" s="188">
        <v>42754</v>
      </c>
      <c r="C103" s="566">
        <v>600</v>
      </c>
      <c r="D103" s="593">
        <v>20.76258</v>
      </c>
      <c r="E103" s="39">
        <v>20.260000000000002</v>
      </c>
      <c r="F103" s="39">
        <f t="shared" si="35"/>
        <v>-301.54799999999898</v>
      </c>
      <c r="G103" s="39">
        <f t="shared" si="36"/>
        <v>12457.548000000001</v>
      </c>
      <c r="H103" s="226">
        <f t="shared" si="37"/>
        <v>-2.4206047610653314E-2</v>
      </c>
      <c r="I103" s="39" t="s">
        <v>341</v>
      </c>
      <c r="J103" s="39"/>
      <c r="K103" s="39"/>
    </row>
    <row r="104" spans="1:11" x14ac:dyDescent="0.25">
      <c r="A104" t="s">
        <v>347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35"/>
        <v>76.452000000000453</v>
      </c>
      <c r="G104" s="39">
        <f t="shared" si="36"/>
        <v>12457.548000000001</v>
      </c>
      <c r="H104" s="226">
        <f t="shared" si="37"/>
        <v>6.1370022415326402E-3</v>
      </c>
      <c r="I104" s="39"/>
      <c r="J104" s="39"/>
      <c r="K104" s="39"/>
    </row>
    <row r="105" spans="1:11" x14ac:dyDescent="0.25">
      <c r="A105" t="s">
        <v>378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35"/>
        <v>-109.54800000000091</v>
      </c>
      <c r="G105" s="39">
        <f t="shared" si="36"/>
        <v>12457.548000000001</v>
      </c>
      <c r="H105" s="226">
        <f t="shared" si="37"/>
        <v>-8.7937048285907406E-3</v>
      </c>
      <c r="I105" s="39"/>
      <c r="J105" s="39"/>
      <c r="K105" s="39"/>
    </row>
    <row r="106" spans="1:11" x14ac:dyDescent="0.25">
      <c r="A106" t="s">
        <v>389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35"/>
        <v>342.34799999999979</v>
      </c>
      <c r="G106" s="39">
        <f t="shared" si="36"/>
        <v>8177.652</v>
      </c>
      <c r="H106" s="226">
        <f t="shared" si="37"/>
        <v>4.1863850405960017E-2</v>
      </c>
      <c r="I106" s="39"/>
      <c r="J106" s="39"/>
      <c r="K106" s="39"/>
    </row>
    <row r="107" spans="1:11" x14ac:dyDescent="0.25">
      <c r="A107" t="s">
        <v>397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35"/>
        <v>14.350000000000307</v>
      </c>
      <c r="G107" s="39">
        <f t="shared" si="36"/>
        <v>10245.65</v>
      </c>
      <c r="H107" s="226">
        <f t="shared" si="37"/>
        <v>1.4005943985984596E-3</v>
      </c>
      <c r="I107" s="39"/>
      <c r="J107" s="39"/>
      <c r="K107" s="39"/>
    </row>
    <row r="108" spans="1:11" x14ac:dyDescent="0.25">
      <c r="A108" t="s">
        <v>418</v>
      </c>
      <c r="B108" s="188">
        <v>42773</v>
      </c>
      <c r="C108" s="566">
        <v>600</v>
      </c>
      <c r="D108" s="593">
        <v>20.322749999999999</v>
      </c>
      <c r="E108" s="39">
        <v>19.61</v>
      </c>
      <c r="F108" s="39">
        <f t="shared" si="35"/>
        <v>-427.64999999999986</v>
      </c>
      <c r="G108" s="39">
        <f t="shared" si="36"/>
        <v>12193.65</v>
      </c>
      <c r="H108" s="226">
        <f t="shared" si="37"/>
        <v>-3.5071533134049267E-2</v>
      </c>
      <c r="I108" s="39"/>
      <c r="J108" s="39"/>
      <c r="K108" s="39"/>
    </row>
    <row r="109" spans="1:11" x14ac:dyDescent="0.25">
      <c r="A109" t="s">
        <v>347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35"/>
        <v>-151.64999999999935</v>
      </c>
      <c r="G109" s="39">
        <f t="shared" si="36"/>
        <v>12193.65</v>
      </c>
      <c r="H109" s="226">
        <f t="shared" si="37"/>
        <v>-1.2436801121895361E-2</v>
      </c>
      <c r="I109" s="39"/>
      <c r="J109" s="39"/>
      <c r="K109" s="39"/>
    </row>
    <row r="110" spans="1:11" x14ac:dyDescent="0.25">
      <c r="A110" t="s">
        <v>347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35"/>
        <v>-655.6499999999993</v>
      </c>
      <c r="G110" s="39">
        <f t="shared" si="36"/>
        <v>12193.65</v>
      </c>
      <c r="H110" s="226">
        <f t="shared" si="37"/>
        <v>-5.3769790013654589E-2</v>
      </c>
      <c r="I110" s="39"/>
      <c r="J110" s="39"/>
      <c r="K110" s="39"/>
    </row>
    <row r="111" spans="1:11" x14ac:dyDescent="0.25">
      <c r="A111" t="s">
        <v>446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35"/>
        <v>-661.6500000000002</v>
      </c>
      <c r="G111" s="39">
        <f t="shared" si="36"/>
        <v>12193.65</v>
      </c>
      <c r="H111" s="226">
        <f t="shared" si="37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35"/>
        <v>-481.64999999999975</v>
      </c>
      <c r="G112" s="39">
        <f t="shared" si="36"/>
        <v>12193.65</v>
      </c>
      <c r="H112" s="226">
        <f t="shared" si="37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35"/>
        <v>-673.65</v>
      </c>
      <c r="G113" s="39">
        <f t="shared" si="36"/>
        <v>12193.65</v>
      </c>
      <c r="H113" s="226">
        <f t="shared" si="37"/>
        <v>-5.5245968188360334E-2</v>
      </c>
      <c r="I113" s="39"/>
      <c r="J113" s="39">
        <v>-329</v>
      </c>
      <c r="K113" s="39">
        <f t="shared" ref="K113:K120" si="38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35"/>
        <v>-937.68000000000029</v>
      </c>
      <c r="G114" s="39">
        <f t="shared" si="36"/>
        <v>15953.68</v>
      </c>
      <c r="H114" s="226">
        <f t="shared" si="37"/>
        <v>-5.8775154071035667E-2</v>
      </c>
      <c r="I114" s="39"/>
      <c r="J114" s="39">
        <v>-593</v>
      </c>
      <c r="K114" s="39">
        <f t="shared" si="38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35"/>
        <v>363.19999999999908</v>
      </c>
      <c r="G115" s="39">
        <f t="shared" si="36"/>
        <v>7816.8000000000011</v>
      </c>
      <c r="H115" s="226">
        <f t="shared" si="37"/>
        <v>4.6464026199979407E-2</v>
      </c>
      <c r="I115" s="39"/>
      <c r="J115" s="39">
        <v>708</v>
      </c>
      <c r="K115" s="39">
        <f t="shared" si="38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35"/>
        <v>60.000000000000497</v>
      </c>
      <c r="G116" s="39">
        <f t="shared" si="36"/>
        <v>9785</v>
      </c>
      <c r="H116" s="226">
        <f t="shared" si="37"/>
        <v>6.1318344404701578E-3</v>
      </c>
      <c r="I116" s="39"/>
      <c r="J116" s="39">
        <v>405</v>
      </c>
      <c r="K116" s="39">
        <f t="shared" si="38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35"/>
        <v>259.19999999999987</v>
      </c>
      <c r="G117" s="39">
        <f t="shared" si="36"/>
        <v>7780.8000000000011</v>
      </c>
      <c r="H117" s="226">
        <f t="shared" si="37"/>
        <v>3.3312769895126444E-2</v>
      </c>
      <c r="I117" s="39"/>
      <c r="J117" s="39">
        <v>604</v>
      </c>
      <c r="K117" s="39">
        <f t="shared" si="38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35"/>
        <v>834.00000000000034</v>
      </c>
      <c r="G118" s="39">
        <f t="shared" si="36"/>
        <v>5739</v>
      </c>
      <c r="H118" s="226">
        <f t="shared" si="37"/>
        <v>0.14532148457919505</v>
      </c>
      <c r="I118" s="39"/>
      <c r="J118" s="39">
        <v>1179</v>
      </c>
      <c r="K118" s="39">
        <f t="shared" si="38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35"/>
        <v>618.00000000000068</v>
      </c>
      <c r="G119" s="39">
        <f t="shared" si="36"/>
        <v>5739</v>
      </c>
      <c r="H119" s="226">
        <f t="shared" si="37"/>
        <v>0.10768426555148992</v>
      </c>
      <c r="I119" s="39"/>
      <c r="J119" s="39">
        <v>963</v>
      </c>
      <c r="K119" s="39">
        <f t="shared" si="38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35"/>
        <v>825.54000000000019</v>
      </c>
      <c r="G120" s="39">
        <f t="shared" si="36"/>
        <v>3552.46</v>
      </c>
      <c r="H120" s="226">
        <f t="shared" si="37"/>
        <v>0.23238544557855689</v>
      </c>
      <c r="I120" s="39"/>
      <c r="J120" s="39">
        <v>1171</v>
      </c>
      <c r="K120" s="39">
        <f t="shared" si="38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5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2343" priority="73">
      <formula>F32&gt;0</formula>
    </cfRule>
    <cfRule type="expression" dxfId="2342" priority="74">
      <formula>F32&lt;0</formula>
    </cfRule>
  </conditionalFormatting>
  <conditionalFormatting sqref="Q7">
    <cfRule type="expression" dxfId="2341" priority="71">
      <formula>Q7&gt;0</formula>
    </cfRule>
    <cfRule type="expression" dxfId="2340" priority="72">
      <formula>Q7&lt;0</formula>
    </cfRule>
  </conditionalFormatting>
  <conditionalFormatting sqref="Q8">
    <cfRule type="expression" dxfId="2339" priority="69">
      <formula>Q8&gt;0</formula>
    </cfRule>
    <cfRule type="expression" dxfId="2338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37" priority="61">
      <formula>M58&gt;0</formula>
    </cfRule>
    <cfRule type="expression" dxfId="2336" priority="62">
      <formula>M58&lt;0</formula>
    </cfRule>
  </conditionalFormatting>
  <conditionalFormatting sqref="Q10">
    <cfRule type="expression" dxfId="2335" priority="59">
      <formula>Q10&gt;0</formula>
    </cfRule>
    <cfRule type="expression" dxfId="2334" priority="60">
      <formula>Q10&lt;0</formula>
    </cfRule>
  </conditionalFormatting>
  <conditionalFormatting sqref="F29:F31">
    <cfRule type="expression" dxfId="2333" priority="57">
      <formula>F29&gt;0</formula>
    </cfRule>
    <cfRule type="expression" dxfId="2332" priority="58">
      <formula>F29&lt;0</formula>
    </cfRule>
  </conditionalFormatting>
  <conditionalFormatting sqref="H29:H31">
    <cfRule type="expression" dxfId="2331" priority="55">
      <formula>H29&gt;0</formula>
    </cfRule>
    <cfRule type="expression" dxfId="2330" priority="56">
      <formula>H29&lt;0</formula>
    </cfRule>
  </conditionalFormatting>
  <conditionalFormatting sqref="F83:F94">
    <cfRule type="expression" dxfId="2329" priority="53">
      <formula>F83&gt;0</formula>
    </cfRule>
    <cfRule type="expression" dxfId="2328" priority="54">
      <formula>F83&lt;0</formula>
    </cfRule>
  </conditionalFormatting>
  <conditionalFormatting sqref="H83:H94">
    <cfRule type="expression" dxfId="2327" priority="51">
      <formula>H83&gt;0</formula>
    </cfRule>
    <cfRule type="expression" dxfId="2326" priority="52">
      <formula>H83&lt;0</formula>
    </cfRule>
  </conditionalFormatting>
  <conditionalFormatting sqref="J41">
    <cfRule type="expression" dxfId="2325" priority="49">
      <formula>J41&gt;0</formula>
    </cfRule>
    <cfRule type="expression" dxfId="2324" priority="50">
      <formula>J41&lt;0</formula>
    </cfRule>
  </conditionalFormatting>
  <conditionalFormatting sqref="J49 J39:J47">
    <cfRule type="expression" dxfId="2323" priority="47">
      <formula>J39&gt;0</formula>
    </cfRule>
    <cfRule type="expression" dxfId="2322" priority="48">
      <formula>J39&lt;0</formula>
    </cfRule>
  </conditionalFormatting>
  <conditionalFormatting sqref="F48 H48">
    <cfRule type="expression" dxfId="2321" priority="45">
      <formula>F48&gt;0</formula>
    </cfRule>
    <cfRule type="expression" dxfId="2320" priority="46">
      <formula>F48&lt;0</formula>
    </cfRule>
  </conditionalFormatting>
  <conditionalFormatting sqref="J48">
    <cfRule type="expression" dxfId="2319" priority="43">
      <formula>J48&gt;0</formula>
    </cfRule>
    <cfRule type="expression" dxfId="2318" priority="44">
      <formula>J48&lt;0</formula>
    </cfRule>
  </conditionalFormatting>
  <conditionalFormatting sqref="K45:K52">
    <cfRule type="expression" dxfId="2317" priority="41">
      <formula>K45&gt;0</formula>
    </cfRule>
    <cfRule type="expression" dxfId="2316" priority="42">
      <formula>K45&lt;0</formula>
    </cfRule>
  </conditionalFormatting>
  <conditionalFormatting sqref="K45:K52">
    <cfRule type="expression" dxfId="2315" priority="39">
      <formula>K45&gt;0</formula>
    </cfRule>
    <cfRule type="expression" dxfId="2314" priority="40">
      <formula>K45&lt;0</formula>
    </cfRule>
  </conditionalFormatting>
  <conditionalFormatting sqref="F102:F118 H102:H118 H120:H128 F120:F128">
    <cfRule type="expression" dxfId="2313" priority="35">
      <formula>F102&gt;0</formula>
    </cfRule>
    <cfRule type="expression" dxfId="2312" priority="36">
      <formula>F102&lt;0</formula>
    </cfRule>
  </conditionalFormatting>
  <conditionalFormatting sqref="F96:F101">
    <cfRule type="expression" dxfId="2311" priority="33">
      <formula>F96&gt;0</formula>
    </cfRule>
    <cfRule type="expression" dxfId="2310" priority="34">
      <formula>F96&lt;0</formula>
    </cfRule>
  </conditionalFormatting>
  <conditionalFormatting sqref="H96:H101">
    <cfRule type="expression" dxfId="2309" priority="31">
      <formula>H96&gt;0</formula>
    </cfRule>
    <cfRule type="expression" dxfId="2308" priority="32">
      <formula>H96&lt;0</formula>
    </cfRule>
  </conditionalFormatting>
  <conditionalFormatting sqref="J112">
    <cfRule type="expression" dxfId="2307" priority="29">
      <formula>J112&gt;0</formula>
    </cfRule>
    <cfRule type="expression" dxfId="2306" priority="30">
      <formula>J112&lt;0</formula>
    </cfRule>
  </conditionalFormatting>
  <conditionalFormatting sqref="J110:J118 J120">
    <cfRule type="expression" dxfId="2305" priority="27">
      <formula>J110&gt;0</formula>
    </cfRule>
    <cfRule type="expression" dxfId="2304" priority="28">
      <formula>J110&lt;0</formula>
    </cfRule>
  </conditionalFormatting>
  <conditionalFormatting sqref="F119 H119">
    <cfRule type="expression" dxfId="2303" priority="25">
      <formula>F119&gt;0</formula>
    </cfRule>
    <cfRule type="expression" dxfId="2302" priority="26">
      <formula>F119&lt;0</formula>
    </cfRule>
  </conditionalFormatting>
  <conditionalFormatting sqref="J119">
    <cfRule type="expression" dxfId="2301" priority="23">
      <formula>J119&gt;0</formula>
    </cfRule>
    <cfRule type="expression" dxfId="2300" priority="24">
      <formula>J119&lt;0</formula>
    </cfRule>
  </conditionalFormatting>
  <conditionalFormatting sqref="K112:K123">
    <cfRule type="expression" dxfId="2299" priority="21">
      <formula>K112&gt;0</formula>
    </cfRule>
    <cfRule type="expression" dxfId="2298" priority="22">
      <formula>K112&lt;0</formula>
    </cfRule>
  </conditionalFormatting>
  <conditionalFormatting sqref="K110:K123">
    <cfRule type="expression" dxfId="2297" priority="19">
      <formula>K110&gt;0</formula>
    </cfRule>
    <cfRule type="expression" dxfId="2296" priority="20">
      <formula>K110&lt;0</formula>
    </cfRule>
  </conditionalFormatting>
  <conditionalFormatting sqref="J121">
    <cfRule type="expression" dxfId="2295" priority="17">
      <formula>J121&gt;0</formula>
    </cfRule>
    <cfRule type="expression" dxfId="2294" priority="18">
      <formula>J121&lt;0</formula>
    </cfRule>
  </conditionalFormatting>
  <conditionalFormatting sqref="F25:F28">
    <cfRule type="expression" dxfId="2293" priority="15">
      <formula>F25&gt;0</formula>
    </cfRule>
    <cfRule type="expression" dxfId="2292" priority="16">
      <formula>F25&lt;0</formula>
    </cfRule>
  </conditionalFormatting>
  <conditionalFormatting sqref="H25:H28">
    <cfRule type="expression" dxfId="2291" priority="13">
      <formula>H25&gt;0</formula>
    </cfRule>
    <cfRule type="expression" dxfId="2290" priority="14">
      <formula>H25&lt;0</formula>
    </cfRule>
  </conditionalFormatting>
  <conditionalFormatting sqref="J27:J29">
    <cfRule type="expression" dxfId="2289" priority="11">
      <formula>J27&gt;0</formula>
    </cfRule>
    <cfRule type="expression" dxfId="2288" priority="12">
      <formula>J27&lt;0</formula>
    </cfRule>
  </conditionalFormatting>
  <conditionalFormatting sqref="J30:J31">
    <cfRule type="expression" dxfId="2287" priority="9">
      <formula>J30&gt;0</formula>
    </cfRule>
    <cfRule type="expression" dxfId="2286" priority="10">
      <formula>J30&lt;0</formula>
    </cfRule>
  </conditionalFormatting>
  <conditionalFormatting sqref="J33">
    <cfRule type="expression" dxfId="2285" priority="7">
      <formula>J33&gt;0</formula>
    </cfRule>
    <cfRule type="expression" dxfId="2284" priority="8">
      <formula>J33&lt;0</formula>
    </cfRule>
  </conditionalFormatting>
  <conditionalFormatting sqref="J34">
    <cfRule type="expression" dxfId="2283" priority="5">
      <formula>J34&gt;0</formula>
    </cfRule>
    <cfRule type="expression" dxfId="2282" priority="6">
      <formula>J34&lt;0</formula>
    </cfRule>
  </conditionalFormatting>
  <conditionalFormatting sqref="J35:J43">
    <cfRule type="expression" dxfId="2281" priority="3">
      <formula>J35&gt;0</formula>
    </cfRule>
    <cfRule type="expression" dxfId="2280" priority="4">
      <formula>J35&lt;0</formula>
    </cfRule>
  </conditionalFormatting>
  <conditionalFormatting sqref="O16:O4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57.84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57.84</v>
      </c>
      <c r="R4" s="486">
        <v>-1.21E-2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317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5">
        <v>200</v>
      </c>
      <c r="D32" s="478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11" t="s">
        <v>78</v>
      </c>
      <c r="P40" s="811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63.624000000000009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63.045600000000007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62.467200000000005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61.88880000000001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61.310400000000008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60.732000000000006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60.153600000000004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59.575200000000002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58.996800000000007</v>
      </c>
      <c r="Q49" s="2"/>
      <c r="T49" s="91" t="s">
        <v>103</v>
      </c>
      <c r="U49" s="127" t="s">
        <v>380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58.418400000000005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57.84</v>
      </c>
      <c r="Q51" s="2"/>
      <c r="T51" s="91" t="s">
        <v>104</v>
      </c>
      <c r="U51" s="127" t="s">
        <v>602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57.261600000000001</v>
      </c>
      <c r="Q52" s="2"/>
      <c r="T52" s="91" t="s">
        <v>105</v>
      </c>
      <c r="U52" s="127" t="s">
        <v>484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56.683199999999999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56.104800000000004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55.526400000000002</v>
      </c>
      <c r="T55" s="91" t="s">
        <v>107</v>
      </c>
      <c r="U55" s="127" t="s">
        <v>603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6" t="s">
        <v>1</v>
      </c>
      <c r="B56" s="376" t="s">
        <v>2</v>
      </c>
      <c r="C56" s="376" t="s">
        <v>4</v>
      </c>
      <c r="D56" s="378" t="s">
        <v>5</v>
      </c>
      <c r="E56" s="378" t="s">
        <v>94</v>
      </c>
      <c r="F56" s="378" t="s">
        <v>60</v>
      </c>
      <c r="G56" s="376" t="s">
        <v>3</v>
      </c>
      <c r="H56" s="376" t="s">
        <v>6</v>
      </c>
      <c r="I56" s="378" t="s">
        <v>7</v>
      </c>
      <c r="J56" s="378" t="s">
        <v>95</v>
      </c>
      <c r="K56" s="378" t="s">
        <v>61</v>
      </c>
      <c r="L56" s="376" t="s">
        <v>37</v>
      </c>
      <c r="M56" s="376" t="s">
        <v>38</v>
      </c>
      <c r="O56" s="81">
        <v>0.95</v>
      </c>
      <c r="P56" s="81">
        <f t="shared" si="6"/>
        <v>54.948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79" t="s">
        <v>36</v>
      </c>
      <c r="B57" s="369">
        <v>42572</v>
      </c>
      <c r="C57" s="370">
        <v>60</v>
      </c>
      <c r="D57" s="371">
        <v>39.58</v>
      </c>
      <c r="E57" s="371">
        <v>0</v>
      </c>
      <c r="F57" s="371">
        <f>C57*D57+E57</f>
        <v>2374.7999999999997</v>
      </c>
      <c r="G57" s="369">
        <v>42620</v>
      </c>
      <c r="H57" s="374">
        <v>100</v>
      </c>
      <c r="I57" s="371">
        <v>38.479999999999997</v>
      </c>
      <c r="J57" s="371">
        <v>0.08</v>
      </c>
      <c r="K57" s="371">
        <f>I57*H57-J57</f>
        <v>3847.9199999999996</v>
      </c>
      <c r="L57" s="369">
        <v>42621</v>
      </c>
      <c r="M57" s="371">
        <v>20</v>
      </c>
      <c r="O57" s="81">
        <v>0.94</v>
      </c>
      <c r="P57" s="81">
        <f t="shared" si="6"/>
        <v>54.369599999999998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0" t="s">
        <v>71</v>
      </c>
      <c r="B58" s="369">
        <v>42572</v>
      </c>
      <c r="C58" s="370">
        <v>40</v>
      </c>
      <c r="D58" s="371">
        <v>37.880000000000003</v>
      </c>
      <c r="E58" s="371">
        <v>0</v>
      </c>
      <c r="F58" s="371">
        <f>C58*D58+E58</f>
        <v>1515.2</v>
      </c>
      <c r="G58" s="369">
        <v>42640</v>
      </c>
      <c r="H58" s="374">
        <v>100</v>
      </c>
      <c r="I58" s="371">
        <v>38.549999999999997</v>
      </c>
      <c r="J58" s="371">
        <v>0.08</v>
      </c>
      <c r="K58" s="371">
        <f>I58*H58-J58</f>
        <v>3854.9199999999996</v>
      </c>
      <c r="L58" s="370"/>
      <c r="M58" s="370"/>
      <c r="O58" s="81">
        <v>0.93</v>
      </c>
      <c r="P58" s="81">
        <f t="shared" si="6"/>
        <v>53.791200000000003</v>
      </c>
      <c r="T58" s="91" t="s">
        <v>108</v>
      </c>
      <c r="U58" s="127" t="s">
        <v>550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0"/>
      <c r="B59" s="369">
        <v>42572</v>
      </c>
      <c r="C59" s="370">
        <v>40</v>
      </c>
      <c r="D59" s="371">
        <v>37.58</v>
      </c>
      <c r="E59" s="371">
        <v>0</v>
      </c>
      <c r="F59" s="371">
        <f>C59*D59+E59</f>
        <v>1503.1999999999998</v>
      </c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6"/>
        <v>53.212800000000009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0"/>
      <c r="B60" s="369">
        <v>42576</v>
      </c>
      <c r="C60" s="370">
        <v>30</v>
      </c>
      <c r="D60" s="371">
        <v>37.15</v>
      </c>
      <c r="E60" s="371">
        <v>0</v>
      </c>
      <c r="F60" s="371">
        <f>C60*D60+E60</f>
        <v>1114.5</v>
      </c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6"/>
        <v>52.634400000000007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0"/>
      <c r="B61" s="369">
        <v>42594</v>
      </c>
      <c r="C61" s="370">
        <v>30</v>
      </c>
      <c r="D61" s="371">
        <v>36.58</v>
      </c>
      <c r="E61" s="371">
        <v>0</v>
      </c>
      <c r="F61" s="371">
        <f>C61*D61+E61</f>
        <v>1097.3999999999999</v>
      </c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6"/>
        <v>52.056000000000004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4"/>
      <c r="I63" s="371"/>
      <c r="J63" s="371"/>
      <c r="K63" s="371"/>
      <c r="L63" s="370"/>
      <c r="M63" s="370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0"/>
      <c r="B64" s="370"/>
      <c r="C64" s="370"/>
      <c r="D64" s="371"/>
      <c r="E64" s="371"/>
      <c r="F64" s="371"/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0"/>
      <c r="B65" s="370"/>
      <c r="C65" s="370"/>
      <c r="D65" s="371"/>
      <c r="E65" s="371"/>
      <c r="F65" s="371"/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79" priority="15">
      <formula>F39&gt;0</formula>
    </cfRule>
    <cfRule type="expression" dxfId="2278" priority="16">
      <formula>F39&lt;0</formula>
    </cfRule>
  </conditionalFormatting>
  <conditionalFormatting sqref="Q7">
    <cfRule type="expression" dxfId="2277" priority="13">
      <formula>Q7&gt;0</formula>
    </cfRule>
    <cfRule type="expression" dxfId="2276" priority="14">
      <formula>Q7&lt;0</formula>
    </cfRule>
  </conditionalFormatting>
  <conditionalFormatting sqref="Q8">
    <cfRule type="expression" dxfId="2275" priority="11">
      <formula>Q8&gt;0</formula>
    </cfRule>
    <cfRule type="expression" dxfId="2274" priority="12">
      <formula>Q8&lt;0</formula>
    </cfRule>
  </conditionalFormatting>
  <conditionalFormatting sqref="F25:F38">
    <cfRule type="expression" dxfId="2273" priority="9">
      <formula>F25&gt;0</formula>
    </cfRule>
    <cfRule type="expression" dxfId="2272" priority="10">
      <formula>F25&lt;0</formula>
    </cfRule>
  </conditionalFormatting>
  <conditionalFormatting sqref="H25:H38">
    <cfRule type="expression" dxfId="2271" priority="7">
      <formula>H25&gt;0</formula>
    </cfRule>
    <cfRule type="expression" dxfId="227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2269" priority="3">
      <formula>M55&gt;0</formula>
    </cfRule>
    <cfRule type="expression" dxfId="2268" priority="4">
      <formula>M55&lt;0</formula>
    </cfRule>
  </conditionalFormatting>
  <conditionalFormatting sqref="Q10">
    <cfRule type="expression" dxfId="2267" priority="1">
      <formula>Q10&gt;0</formula>
    </cfRule>
    <cfRule type="expression" dxfId="226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7">
        <f>IF(Q2=0, Q4, (F18-K18-M18)/Q2)</f>
        <v>38.020000000000003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38.020000000000003</v>
      </c>
      <c r="R4" s="486">
        <v>-3.3999999999999998E-3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5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7" t="s">
        <v>113</v>
      </c>
      <c r="C21" s="497" t="s">
        <v>146</v>
      </c>
      <c r="D21" s="498" t="s">
        <v>145</v>
      </c>
      <c r="E21" s="499" t="s">
        <v>147</v>
      </c>
      <c r="F21" s="500" t="s">
        <v>65</v>
      </c>
      <c r="G21" s="501" t="s">
        <v>151</v>
      </c>
      <c r="H21" s="500" t="s">
        <v>88</v>
      </c>
      <c r="I21" s="501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356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8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8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11" t="s">
        <v>78</v>
      </c>
      <c r="P40" s="811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41.82200000000001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6" t="s">
        <v>1</v>
      </c>
      <c r="B42" s="376" t="s">
        <v>2</v>
      </c>
      <c r="C42" s="376" t="s">
        <v>4</v>
      </c>
      <c r="D42" s="378" t="s">
        <v>5</v>
      </c>
      <c r="E42" s="378" t="s">
        <v>94</v>
      </c>
      <c r="F42" s="378" t="s">
        <v>60</v>
      </c>
      <c r="G42" s="376" t="s">
        <v>3</v>
      </c>
      <c r="H42" s="376" t="s">
        <v>6</v>
      </c>
      <c r="I42" s="378" t="s">
        <v>7</v>
      </c>
      <c r="J42" s="378" t="s">
        <v>95</v>
      </c>
      <c r="K42" s="378" t="s">
        <v>61</v>
      </c>
      <c r="L42" s="376" t="s">
        <v>37</v>
      </c>
      <c r="M42" s="376" t="s">
        <v>38</v>
      </c>
      <c r="O42" s="81">
        <v>1.0900000000000001</v>
      </c>
      <c r="P42" s="81">
        <f t="shared" ref="P42:P61" si="2">O42*$Q$4</f>
        <v>41.441800000000008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79" t="s">
        <v>320</v>
      </c>
      <c r="B43" s="369">
        <v>42719</v>
      </c>
      <c r="C43" s="370">
        <v>50</v>
      </c>
      <c r="D43" s="371">
        <v>31.18</v>
      </c>
      <c r="E43" s="371">
        <v>0</v>
      </c>
      <c r="F43" s="371">
        <f>C43*D43+E43</f>
        <v>1559</v>
      </c>
      <c r="G43" s="369">
        <v>42753</v>
      </c>
      <c r="H43" s="370">
        <v>50</v>
      </c>
      <c r="I43" s="371">
        <v>32.92</v>
      </c>
      <c r="J43" s="371">
        <v>0.04</v>
      </c>
      <c r="K43" s="371">
        <f>H43*I43-J43</f>
        <v>1645.96</v>
      </c>
      <c r="L43" s="369">
        <v>42748</v>
      </c>
      <c r="M43" s="370">
        <v>18</v>
      </c>
      <c r="O43" s="81">
        <v>1.08</v>
      </c>
      <c r="P43" s="81">
        <f t="shared" si="2"/>
        <v>41.061600000000006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0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0"/>
      <c r="M44" s="370"/>
      <c r="O44" s="81">
        <v>1.07</v>
      </c>
      <c r="P44" s="81">
        <f t="shared" si="2"/>
        <v>40.681400000000004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0"/>
      <c r="B45" s="369"/>
      <c r="C45" s="370"/>
      <c r="D45" s="371"/>
      <c r="E45" s="371"/>
      <c r="F45" s="371"/>
      <c r="G45" s="369"/>
      <c r="H45" s="374"/>
      <c r="I45" s="371"/>
      <c r="J45" s="371"/>
      <c r="K45" s="371"/>
      <c r="L45" s="370"/>
      <c r="M45" s="370"/>
      <c r="O45" s="81">
        <v>1.06</v>
      </c>
      <c r="P45" s="81">
        <f t="shared" si="2"/>
        <v>40.301200000000009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0"/>
      <c r="B46" s="369"/>
      <c r="C46" s="370"/>
      <c r="D46" s="371"/>
      <c r="E46" s="371"/>
      <c r="F46" s="371"/>
      <c r="G46" s="369"/>
      <c r="H46" s="374"/>
      <c r="I46" s="371"/>
      <c r="J46" s="371"/>
      <c r="K46" s="371"/>
      <c r="L46" s="370"/>
      <c r="M46" s="370"/>
      <c r="O46" s="81">
        <v>1.05</v>
      </c>
      <c r="P46" s="81">
        <f t="shared" si="2"/>
        <v>39.921000000000006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0"/>
      <c r="B47" s="369"/>
      <c r="C47" s="370"/>
      <c r="D47" s="371"/>
      <c r="E47" s="371"/>
      <c r="F47" s="371"/>
      <c r="G47" s="369"/>
      <c r="H47" s="374"/>
      <c r="I47" s="371"/>
      <c r="J47" s="371"/>
      <c r="K47" s="371"/>
      <c r="L47" s="370"/>
      <c r="M47" s="370"/>
      <c r="O47" s="81">
        <v>1.04</v>
      </c>
      <c r="P47" s="81">
        <f t="shared" si="2"/>
        <v>39.540800000000004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4"/>
      <c r="I48" s="371"/>
      <c r="J48" s="371"/>
      <c r="K48" s="371"/>
      <c r="L48" s="370"/>
      <c r="M48" s="370"/>
      <c r="O48" s="81">
        <v>1.03</v>
      </c>
      <c r="P48" s="81">
        <f t="shared" si="2"/>
        <v>39.160600000000002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4"/>
      <c r="I49" s="371"/>
      <c r="J49" s="371"/>
      <c r="K49" s="371"/>
      <c r="L49" s="370"/>
      <c r="M49" s="370"/>
      <c r="O49" s="81">
        <v>1.02</v>
      </c>
      <c r="P49" s="81">
        <f t="shared" si="2"/>
        <v>38.780400000000007</v>
      </c>
      <c r="Q49" s="2"/>
      <c r="T49" s="91" t="s">
        <v>103</v>
      </c>
      <c r="U49" s="127" t="s">
        <v>604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4"/>
      <c r="I50" s="371"/>
      <c r="J50" s="371"/>
      <c r="K50" s="371"/>
      <c r="L50" s="370"/>
      <c r="M50" s="370"/>
      <c r="O50" s="81">
        <v>1.01</v>
      </c>
      <c r="P50" s="81">
        <f t="shared" si="2"/>
        <v>38.400200000000005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</v>
      </c>
      <c r="P51" s="81">
        <f t="shared" si="2"/>
        <v>38.020000000000003</v>
      </c>
      <c r="Q51" s="2"/>
      <c r="T51" s="91" t="s">
        <v>104</v>
      </c>
      <c r="U51" s="127" t="s">
        <v>605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0.99</v>
      </c>
      <c r="P52" s="81">
        <f t="shared" si="2"/>
        <v>37.639800000000001</v>
      </c>
      <c r="Q52" s="2"/>
      <c r="T52" s="91" t="s">
        <v>105</v>
      </c>
      <c r="U52" s="127" t="s">
        <v>321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0.98</v>
      </c>
      <c r="P53" s="81">
        <f t="shared" si="2"/>
        <v>37.259599999999999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0.97</v>
      </c>
      <c r="P54" s="81">
        <f t="shared" si="2"/>
        <v>36.879400000000004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0.96</v>
      </c>
      <c r="P55" s="81">
        <f t="shared" si="2"/>
        <v>36.499200000000002</v>
      </c>
      <c r="T55" s="91" t="s">
        <v>107</v>
      </c>
      <c r="U55" s="127" t="s">
        <v>606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0.95</v>
      </c>
      <c r="P56" s="81">
        <f t="shared" si="2"/>
        <v>36.119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0.94</v>
      </c>
      <c r="P57" s="81">
        <f t="shared" si="2"/>
        <v>35.738799999999998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35.358600000000003</v>
      </c>
      <c r="T58" s="91" t="s">
        <v>108</v>
      </c>
      <c r="U58" s="127" t="s">
        <v>521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34.978400000000008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4"/>
      <c r="B60" s="455"/>
      <c r="C60" s="456"/>
      <c r="D60" s="456"/>
      <c r="E60" s="456"/>
      <c r="F60" s="457"/>
      <c r="G60" s="456"/>
      <c r="H60" s="456"/>
      <c r="I60" s="456"/>
      <c r="J60" s="456"/>
      <c r="K60" s="457"/>
      <c r="L60" s="456"/>
      <c r="M60" s="575"/>
      <c r="O60" s="81">
        <v>0.91</v>
      </c>
      <c r="P60" s="81">
        <f t="shared" si="2"/>
        <v>34.598200000000006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34.218000000000004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0"/>
      <c r="C68" s="420"/>
      <c r="D68" s="569"/>
      <c r="E68" s="569"/>
      <c r="F68" s="569"/>
      <c r="G68" s="420"/>
      <c r="H68" s="420"/>
      <c r="I68" s="569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0"/>
      <c r="B69" s="72"/>
      <c r="C69" s="4"/>
      <c r="D69" s="3"/>
      <c r="E69" s="3"/>
      <c r="F69" s="3"/>
      <c r="G69" s="72"/>
      <c r="H69" s="180"/>
      <c r="I69" s="3"/>
      <c r="J69" s="569"/>
      <c r="K69" s="569"/>
      <c r="L69" s="420"/>
      <c r="M69" s="420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0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1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65" priority="27">
      <formula>F27&gt;0</formula>
    </cfRule>
    <cfRule type="expression" dxfId="226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63" priority="15">
      <formula>Q8&gt;0</formula>
    </cfRule>
    <cfRule type="expression" dxfId="2262" priority="16">
      <formula>Q8&lt;0</formula>
    </cfRule>
  </conditionalFormatting>
  <conditionalFormatting sqref="Q7">
    <cfRule type="expression" dxfId="2261" priority="17">
      <formula>Q7&gt;0</formula>
    </cfRule>
    <cfRule type="expression" dxfId="2260" priority="18">
      <formula>Q7&lt;0</formula>
    </cfRule>
  </conditionalFormatting>
  <conditionalFormatting sqref="F37:F38">
    <cfRule type="expression" dxfId="2259" priority="13">
      <formula>F37&gt;0</formula>
    </cfRule>
    <cfRule type="expression" dxfId="2258" priority="14">
      <formula>F37&lt;0</formula>
    </cfRule>
  </conditionalFormatting>
  <conditionalFormatting sqref="H37:H38">
    <cfRule type="expression" dxfId="2257" priority="11">
      <formula>H37&gt;0</formula>
    </cfRule>
    <cfRule type="expression" dxfId="2256" priority="12">
      <formula>H37&lt;0</formula>
    </cfRule>
  </conditionalFormatting>
  <conditionalFormatting sqref="F23:F26 H23:H26">
    <cfRule type="expression" dxfId="2255" priority="9">
      <formula>F23&gt;0</formula>
    </cfRule>
    <cfRule type="expression" dxfId="2254" priority="10">
      <formula>F23&lt;0</formula>
    </cfRule>
  </conditionalFormatting>
  <conditionalFormatting sqref="Q10">
    <cfRule type="expression" dxfId="2253" priority="3">
      <formula>Q10&gt;0</formula>
    </cfRule>
    <cfRule type="expression" dxfId="2252" priority="4">
      <formula>Q10&lt;0</formula>
    </cfRule>
  </conditionalFormatting>
  <conditionalFormatting sqref="F22 H22">
    <cfRule type="expression" dxfId="2251" priority="1">
      <formula>F22&gt;0</formula>
    </cfRule>
    <cfRule type="expression" dxfId="2250" priority="2">
      <formula>F22&lt;0</formula>
    </cfRule>
  </conditionalFormatting>
  <conditionalFormatting sqref="M41">
    <cfRule type="expression" dxfId="2249" priority="5">
      <formula>M41&gt;0</formula>
    </cfRule>
    <cfRule type="expression" dxfId="224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66.2</v>
      </c>
      <c r="T3" s="1"/>
      <c r="W3" s="130">
        <v>42830</v>
      </c>
      <c r="X3" s="10" t="s">
        <v>335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66.2</v>
      </c>
      <c r="R4" s="486">
        <v>-2.4199999999999999E-2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4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4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4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4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72.820000000000007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72.158000000000015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71.496000000000009</v>
      </c>
      <c r="Q43" s="2"/>
      <c r="T43" s="125" t="s">
        <v>97</v>
      </c>
      <c r="U43" s="126">
        <v>53.75</v>
      </c>
      <c r="V43" s="523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70.834000000000003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70.172000000000011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69.510000000000005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37</v>
      </c>
      <c r="M47" s="376" t="s">
        <v>38</v>
      </c>
      <c r="O47" s="81">
        <v>1.04</v>
      </c>
      <c r="P47" s="81">
        <f t="shared" si="2"/>
        <v>68.847999999999999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9" t="s">
        <v>303</v>
      </c>
      <c r="B48" s="369">
        <v>42669</v>
      </c>
      <c r="C48" s="370">
        <v>20</v>
      </c>
      <c r="D48" s="371">
        <v>49.18</v>
      </c>
      <c r="E48" s="371">
        <v>0</v>
      </c>
      <c r="F48" s="371">
        <f t="shared" ref="F48:F53" si="3">C48*D48+E48</f>
        <v>983.6</v>
      </c>
      <c r="G48" s="369">
        <v>42710</v>
      </c>
      <c r="H48" s="374">
        <v>20</v>
      </c>
      <c r="I48" s="371">
        <v>55.88</v>
      </c>
      <c r="J48" s="371">
        <v>0.02</v>
      </c>
      <c r="K48" s="371">
        <f>I48*H48-J48</f>
        <v>1117.5800000000002</v>
      </c>
      <c r="L48" s="369"/>
      <c r="M48" s="370"/>
      <c r="O48" s="81">
        <v>1.03</v>
      </c>
      <c r="P48" s="81">
        <f t="shared" si="2"/>
        <v>68.186000000000007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0" t="s">
        <v>71</v>
      </c>
      <c r="B49" s="369">
        <v>42669</v>
      </c>
      <c r="C49" s="370">
        <v>30</v>
      </c>
      <c r="D49" s="371">
        <v>49.18</v>
      </c>
      <c r="E49" s="371">
        <v>0</v>
      </c>
      <c r="F49" s="371">
        <f t="shared" si="3"/>
        <v>1475.4</v>
      </c>
      <c r="G49" s="369">
        <v>42713</v>
      </c>
      <c r="H49" s="374">
        <v>30</v>
      </c>
      <c r="I49" s="371">
        <v>56.28</v>
      </c>
      <c r="J49" s="371">
        <v>0.04</v>
      </c>
      <c r="K49" s="371">
        <f>I49*H49-J49</f>
        <v>1688.3600000000001</v>
      </c>
      <c r="L49" s="370"/>
      <c r="M49" s="370"/>
      <c r="O49" s="81">
        <v>1.02</v>
      </c>
      <c r="P49" s="81">
        <f t="shared" si="2"/>
        <v>67.524000000000001</v>
      </c>
      <c r="Q49" s="2"/>
      <c r="T49" s="91" t="s">
        <v>103</v>
      </c>
      <c r="U49" s="127" t="s">
        <v>493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0"/>
      <c r="B50" s="595">
        <v>42711</v>
      </c>
      <c r="C50" s="596">
        <v>20</v>
      </c>
      <c r="D50" s="597">
        <v>55.06</v>
      </c>
      <c r="E50" s="597">
        <v>0</v>
      </c>
      <c r="F50" s="597">
        <f t="shared" si="3"/>
        <v>1101.2</v>
      </c>
      <c r="G50" s="595">
        <v>42780</v>
      </c>
      <c r="H50" s="598">
        <v>20</v>
      </c>
      <c r="I50" s="597">
        <v>52.48</v>
      </c>
      <c r="J50" s="597">
        <v>0.02</v>
      </c>
      <c r="K50" s="597">
        <f>I50*H50-J50</f>
        <v>1049.58</v>
      </c>
      <c r="L50" s="595">
        <v>42768</v>
      </c>
      <c r="M50" s="597">
        <v>7.8</v>
      </c>
      <c r="O50" s="81">
        <v>1.01</v>
      </c>
      <c r="P50" s="81">
        <f t="shared" si="2"/>
        <v>66.862000000000009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0"/>
      <c r="B51" s="595">
        <v>42755</v>
      </c>
      <c r="C51" s="596">
        <v>20</v>
      </c>
      <c r="D51" s="597">
        <v>51.33</v>
      </c>
      <c r="E51" s="597">
        <v>0</v>
      </c>
      <c r="F51" s="597">
        <f t="shared" si="3"/>
        <v>1026.5999999999999</v>
      </c>
      <c r="G51" s="595">
        <v>42787</v>
      </c>
      <c r="H51" s="598">
        <v>80</v>
      </c>
      <c r="I51" s="597">
        <v>55.58</v>
      </c>
      <c r="J51" s="597">
        <v>0.1</v>
      </c>
      <c r="K51" s="597">
        <f>I51*H51-J51</f>
        <v>4446.2999999999993</v>
      </c>
      <c r="L51" s="370"/>
      <c r="M51" s="370"/>
      <c r="O51" s="81">
        <v>1</v>
      </c>
      <c r="P51" s="81">
        <f t="shared" si="2"/>
        <v>66.2</v>
      </c>
      <c r="Q51" s="2"/>
      <c r="T51" s="91" t="s">
        <v>104</v>
      </c>
      <c r="U51" s="127" t="s">
        <v>607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0"/>
      <c r="B52" s="595">
        <v>42755</v>
      </c>
      <c r="C52" s="596">
        <v>20</v>
      </c>
      <c r="D52" s="597">
        <v>51.44</v>
      </c>
      <c r="E52" s="597">
        <v>0</v>
      </c>
      <c r="F52" s="597">
        <f t="shared" si="3"/>
        <v>1028.8</v>
      </c>
      <c r="G52" s="596"/>
      <c r="H52" s="598"/>
      <c r="I52" s="597"/>
      <c r="J52" s="597"/>
      <c r="K52" s="597"/>
      <c r="L52" s="370"/>
      <c r="M52" s="370"/>
      <c r="O52" s="81">
        <v>0.99</v>
      </c>
      <c r="P52" s="81">
        <f t="shared" si="2"/>
        <v>65.537999999999997</v>
      </c>
      <c r="Q52" s="2"/>
      <c r="T52" s="91" t="s">
        <v>105</v>
      </c>
      <c r="U52" s="127" t="s">
        <v>375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0"/>
      <c r="B53" s="595">
        <v>42755</v>
      </c>
      <c r="C53" s="596">
        <v>40</v>
      </c>
      <c r="D53" s="597">
        <v>49.68</v>
      </c>
      <c r="E53" s="597">
        <v>0</v>
      </c>
      <c r="F53" s="597">
        <f t="shared" si="3"/>
        <v>1987.2</v>
      </c>
      <c r="G53" s="596"/>
      <c r="H53" s="598"/>
      <c r="I53" s="597"/>
      <c r="J53" s="597"/>
      <c r="K53" s="597"/>
      <c r="L53" s="370"/>
      <c r="M53" s="370"/>
      <c r="O53" s="81">
        <v>0.98</v>
      </c>
      <c r="P53" s="81">
        <f t="shared" si="2"/>
        <v>64.876000000000005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0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0"/>
      <c r="M54" s="370"/>
      <c r="O54" s="81">
        <v>0.97</v>
      </c>
      <c r="P54" s="81">
        <f t="shared" si="2"/>
        <v>64.213999999999999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0"/>
      <c r="B55" s="370"/>
      <c r="C55" s="370"/>
      <c r="D55" s="371"/>
      <c r="E55" s="371"/>
      <c r="F55" s="371"/>
      <c r="G55" s="370"/>
      <c r="H55" s="374"/>
      <c r="I55" s="371"/>
      <c r="J55" s="371"/>
      <c r="K55" s="371"/>
      <c r="L55" s="370"/>
      <c r="M55" s="370"/>
      <c r="O55" s="81">
        <v>0.96</v>
      </c>
      <c r="P55" s="81">
        <f t="shared" si="2"/>
        <v>63.552</v>
      </c>
      <c r="T55" s="91" t="s">
        <v>107</v>
      </c>
      <c r="U55" s="127" t="s">
        <v>608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0"/>
      <c r="B56" s="370"/>
      <c r="C56" s="370"/>
      <c r="D56" s="371"/>
      <c r="E56" s="371"/>
      <c r="F56" s="371"/>
      <c r="G56" s="370"/>
      <c r="H56" s="374"/>
      <c r="I56" s="371"/>
      <c r="J56" s="371"/>
      <c r="K56" s="371"/>
      <c r="L56" s="370"/>
      <c r="M56" s="370"/>
      <c r="O56" s="81">
        <v>0.95</v>
      </c>
      <c r="P56" s="81">
        <f t="shared" si="2"/>
        <v>62.89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0"/>
      <c r="B57" s="370"/>
      <c r="C57" s="370"/>
      <c r="D57" s="371"/>
      <c r="E57" s="371"/>
      <c r="F57" s="371"/>
      <c r="G57" s="370"/>
      <c r="H57" s="374"/>
      <c r="I57" s="371"/>
      <c r="J57" s="371"/>
      <c r="K57" s="371"/>
      <c r="L57" s="370"/>
      <c r="M57" s="370"/>
      <c r="O57" s="81">
        <v>0.94</v>
      </c>
      <c r="P57" s="81">
        <f t="shared" si="2"/>
        <v>62.228000000000002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0"/>
      <c r="B58" s="370"/>
      <c r="C58" s="370"/>
      <c r="D58" s="371"/>
      <c r="E58" s="371"/>
      <c r="F58" s="371"/>
      <c r="G58" s="370"/>
      <c r="H58" s="374"/>
      <c r="I58" s="371"/>
      <c r="J58" s="371"/>
      <c r="K58" s="371"/>
      <c r="L58" s="370"/>
      <c r="M58" s="370"/>
      <c r="O58" s="81">
        <v>0.93</v>
      </c>
      <c r="P58" s="81">
        <f t="shared" si="2"/>
        <v>61.566000000000003</v>
      </c>
      <c r="T58" s="91" t="s">
        <v>108</v>
      </c>
      <c r="U58" s="127" t="s">
        <v>557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0"/>
      <c r="B59" s="370"/>
      <c r="C59" s="370"/>
      <c r="D59" s="371"/>
      <c r="E59" s="371"/>
      <c r="F59" s="371"/>
      <c r="G59" s="370"/>
      <c r="H59" s="374"/>
      <c r="I59" s="371"/>
      <c r="J59" s="371"/>
      <c r="K59" s="371"/>
      <c r="L59" s="370"/>
      <c r="M59" s="370"/>
      <c r="O59" s="81">
        <v>0.92</v>
      </c>
      <c r="P59" s="81">
        <f t="shared" si="2"/>
        <v>60.904000000000003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0"/>
      <c r="B60" s="370"/>
      <c r="C60" s="370"/>
      <c r="D60" s="371"/>
      <c r="E60" s="371"/>
      <c r="F60" s="371"/>
      <c r="G60" s="370"/>
      <c r="H60" s="374"/>
      <c r="I60" s="371"/>
      <c r="J60" s="371"/>
      <c r="K60" s="371"/>
      <c r="L60" s="370"/>
      <c r="M60" s="370"/>
      <c r="O60" s="81">
        <v>0.91</v>
      </c>
      <c r="P60" s="81">
        <f t="shared" si="2"/>
        <v>60.242000000000004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0"/>
      <c r="B61" s="370"/>
      <c r="C61" s="370"/>
      <c r="D61" s="371"/>
      <c r="E61" s="371"/>
      <c r="F61" s="371"/>
      <c r="G61" s="370"/>
      <c r="H61" s="374"/>
      <c r="I61" s="371"/>
      <c r="J61" s="371"/>
      <c r="K61" s="371"/>
      <c r="L61" s="370"/>
      <c r="M61" s="370"/>
      <c r="O61" s="81">
        <v>0.9</v>
      </c>
      <c r="P61" s="81">
        <f t="shared" si="2"/>
        <v>59.580000000000005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0"/>
      <c r="B62" s="370"/>
      <c r="C62" s="370"/>
      <c r="D62" s="371"/>
      <c r="E62" s="371"/>
      <c r="F62" s="371"/>
      <c r="G62" s="370"/>
      <c r="H62" s="374"/>
      <c r="I62" s="371"/>
      <c r="J62" s="371"/>
      <c r="K62" s="371"/>
      <c r="L62" s="370"/>
      <c r="M62" s="370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0"/>
      <c r="B63" s="370"/>
      <c r="C63" s="370"/>
      <c r="D63" s="371"/>
      <c r="E63" s="371"/>
      <c r="F63" s="371"/>
      <c r="G63" s="370"/>
      <c r="H63" s="370"/>
      <c r="I63" s="371"/>
      <c r="J63" s="371"/>
      <c r="K63" s="371"/>
      <c r="L63" s="370"/>
      <c r="M63" s="370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4" t="s">
        <v>194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3" t="s">
        <v>344</v>
      </c>
      <c r="B71" s="462">
        <v>42754</v>
      </c>
      <c r="C71" s="463">
        <v>20</v>
      </c>
      <c r="D71" s="599">
        <v>55.06</v>
      </c>
      <c r="E71" s="464">
        <v>55.49</v>
      </c>
      <c r="F71" s="464">
        <f t="shared" ref="F71:F78" si="4">C71*(E71-D71)</f>
        <v>8.5999999999999943</v>
      </c>
      <c r="G71" s="464">
        <f t="shared" ref="G71:G78" si="5">D71*C71</f>
        <v>1101.2</v>
      </c>
      <c r="H71" s="600">
        <f t="shared" ref="H71:H78" si="6">(E71-D71)/D71</f>
        <v>7.8096621867054065E-3</v>
      </c>
      <c r="I71" s="464"/>
      <c r="W71" s="130"/>
      <c r="X71" s="10"/>
      <c r="Y71" s="10"/>
      <c r="Z71" s="10"/>
      <c r="AA71" s="10"/>
      <c r="AB71" s="93"/>
      <c r="AC71" s="10"/>
    </row>
    <row r="72" spans="1:31" x14ac:dyDescent="0.25">
      <c r="A72" s="463" t="s">
        <v>355</v>
      </c>
      <c r="B72" s="462">
        <v>42755</v>
      </c>
      <c r="C72" s="463">
        <v>100</v>
      </c>
      <c r="D72" s="599">
        <v>51.438000000000002</v>
      </c>
      <c r="E72" s="464">
        <v>49.23</v>
      </c>
      <c r="F72" s="464">
        <f t="shared" si="4"/>
        <v>-220.80000000000055</v>
      </c>
      <c r="G72" s="464">
        <f t="shared" si="5"/>
        <v>5143.8</v>
      </c>
      <c r="H72" s="600">
        <f t="shared" si="6"/>
        <v>-4.2925463664994855E-2</v>
      </c>
      <c r="I72" s="464">
        <v>50</v>
      </c>
    </row>
    <row r="73" spans="1:31" x14ac:dyDescent="0.25">
      <c r="A73" s="463" t="s">
        <v>372</v>
      </c>
      <c r="B73" s="462">
        <v>42761</v>
      </c>
      <c r="C73" s="463">
        <v>120</v>
      </c>
      <c r="D73" s="599">
        <v>50.715000000000003</v>
      </c>
      <c r="E73" s="464">
        <v>46.82</v>
      </c>
      <c r="F73" s="464">
        <f t="shared" si="4"/>
        <v>-467.40000000000038</v>
      </c>
      <c r="G73" s="464">
        <f t="shared" si="5"/>
        <v>6085.8</v>
      </c>
      <c r="H73" s="600">
        <f t="shared" si="6"/>
        <v>-7.680173518682841E-2</v>
      </c>
      <c r="I73" s="464"/>
    </row>
    <row r="74" spans="1:31" x14ac:dyDescent="0.25">
      <c r="A74" s="463" t="s">
        <v>372</v>
      </c>
      <c r="B74" s="462">
        <v>42764</v>
      </c>
      <c r="C74" s="463">
        <v>120</v>
      </c>
      <c r="D74" s="599">
        <v>50.715000000000003</v>
      </c>
      <c r="E74" s="464">
        <v>47.74</v>
      </c>
      <c r="F74" s="464">
        <f t="shared" si="4"/>
        <v>-357.00000000000017</v>
      </c>
      <c r="G74" s="464">
        <f t="shared" si="5"/>
        <v>6085.8</v>
      </c>
      <c r="H74" s="600">
        <f t="shared" si="6"/>
        <v>-5.866114561766738E-2</v>
      </c>
      <c r="I74" s="464"/>
    </row>
    <row r="75" spans="1:31" x14ac:dyDescent="0.25">
      <c r="A75" s="463" t="s">
        <v>396</v>
      </c>
      <c r="B75" s="462">
        <v>42768</v>
      </c>
      <c r="C75" s="463">
        <v>120</v>
      </c>
      <c r="D75" s="599">
        <v>50.65</v>
      </c>
      <c r="E75" s="464">
        <v>50.5</v>
      </c>
      <c r="F75" s="464">
        <f t="shared" si="4"/>
        <v>-17.999999999999829</v>
      </c>
      <c r="G75" s="464">
        <f t="shared" si="5"/>
        <v>6078</v>
      </c>
      <c r="H75" s="600">
        <f t="shared" si="6"/>
        <v>-2.9615004935833874E-3</v>
      </c>
      <c r="I75" s="464"/>
    </row>
    <row r="76" spans="1:31" x14ac:dyDescent="0.25">
      <c r="A76" s="463" t="s">
        <v>432</v>
      </c>
      <c r="B76" s="462">
        <v>42780</v>
      </c>
      <c r="C76" s="463">
        <v>100</v>
      </c>
      <c r="D76" s="599">
        <v>50.284199999999998</v>
      </c>
      <c r="E76" s="464">
        <v>53.71</v>
      </c>
      <c r="F76" s="464">
        <f t="shared" si="4"/>
        <v>342.58000000000027</v>
      </c>
      <c r="G76" s="464">
        <f t="shared" si="5"/>
        <v>5028.42</v>
      </c>
      <c r="H76" s="600">
        <f t="shared" si="6"/>
        <v>6.8128756150043199E-2</v>
      </c>
      <c r="I76" s="464">
        <v>50</v>
      </c>
    </row>
    <row r="77" spans="1:31" x14ac:dyDescent="0.25">
      <c r="A77" s="644" t="s">
        <v>448</v>
      </c>
      <c r="B77" s="643">
        <v>42787</v>
      </c>
      <c r="C77" s="644">
        <v>20</v>
      </c>
      <c r="D77" s="645">
        <v>47.1</v>
      </c>
      <c r="E77" s="642">
        <v>54.78</v>
      </c>
      <c r="F77" s="642">
        <f t="shared" si="4"/>
        <v>153.6</v>
      </c>
      <c r="G77" s="642">
        <f t="shared" si="5"/>
        <v>942</v>
      </c>
      <c r="H77" s="646">
        <f t="shared" si="6"/>
        <v>0.16305732484076432</v>
      </c>
      <c r="I77" s="642"/>
    </row>
    <row r="78" spans="1:31" x14ac:dyDescent="0.25">
      <c r="A78" s="644" t="s">
        <v>466</v>
      </c>
      <c r="B78" s="643">
        <v>42792</v>
      </c>
      <c r="C78" s="644">
        <v>20</v>
      </c>
      <c r="D78" s="645">
        <v>47.1</v>
      </c>
      <c r="E78" s="642">
        <v>54.78</v>
      </c>
      <c r="F78" s="642">
        <f t="shared" si="4"/>
        <v>153.6</v>
      </c>
      <c r="G78" s="642">
        <f t="shared" si="5"/>
        <v>942</v>
      </c>
      <c r="H78" s="646">
        <f t="shared" si="6"/>
        <v>0.16305732484076432</v>
      </c>
      <c r="I78" s="642"/>
    </row>
    <row r="79" spans="1:31" x14ac:dyDescent="0.25">
      <c r="A79" s="644"/>
      <c r="B79" s="643">
        <v>42796</v>
      </c>
      <c r="C79" s="644">
        <v>0</v>
      </c>
      <c r="D79" s="645"/>
      <c r="E79" s="642"/>
      <c r="F79" s="642">
        <v>203.98</v>
      </c>
      <c r="G79" s="642"/>
      <c r="H79" s="646"/>
      <c r="I79" s="647"/>
    </row>
    <row r="80" spans="1:31" x14ac:dyDescent="0.25">
      <c r="B80" s="188"/>
      <c r="C80" s="10"/>
      <c r="D80" s="594"/>
      <c r="E80" s="39"/>
      <c r="F80" s="39"/>
      <c r="G80" s="39"/>
      <c r="H80" s="226"/>
      <c r="I80" s="39"/>
    </row>
    <row r="81" spans="2:9" x14ac:dyDescent="0.25">
      <c r="B81" s="188"/>
      <c r="C81" s="10"/>
      <c r="D81" s="594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47" priority="29">
      <formula>F25&gt;0</formula>
    </cfRule>
    <cfRule type="expression" dxfId="2246" priority="30">
      <formula>F25&lt;0</formula>
    </cfRule>
  </conditionalFormatting>
  <conditionalFormatting sqref="Q7">
    <cfRule type="expression" dxfId="2245" priority="27">
      <formula>Q7&gt;0</formula>
    </cfRule>
    <cfRule type="expression" dxfId="2244" priority="28">
      <formula>Q7&lt;0</formula>
    </cfRule>
  </conditionalFormatting>
  <conditionalFormatting sqref="Q8">
    <cfRule type="expression" dxfId="2243" priority="25">
      <formula>Q8&gt;0</formula>
    </cfRule>
    <cfRule type="expression" dxfId="2242" priority="26">
      <formula>Q8&lt;0</formula>
    </cfRule>
  </conditionalFormatting>
  <conditionalFormatting sqref="Q10">
    <cfRule type="expression" dxfId="2241" priority="13">
      <formula>Q10&gt;0</formula>
    </cfRule>
    <cfRule type="expression" dxfId="2240" priority="14">
      <formula>Q10&lt;0</formula>
    </cfRule>
  </conditionalFormatting>
  <conditionalFormatting sqref="M46">
    <cfRule type="expression" dxfId="2239" priority="11">
      <formula>M46&gt;0</formula>
    </cfRule>
    <cfRule type="expression" dxfId="2238" priority="12">
      <formula>M46&lt;0</formula>
    </cfRule>
  </conditionalFormatting>
  <conditionalFormatting sqref="F80:F88 H80:H88">
    <cfRule type="expression" dxfId="2237" priority="9">
      <formula>F80&gt;0</formula>
    </cfRule>
    <cfRule type="expression" dxfId="2236" priority="10">
      <formula>F80&lt;0</formula>
    </cfRule>
  </conditionalFormatting>
  <conditionalFormatting sqref="F75:F79">
    <cfRule type="expression" dxfId="2235" priority="7">
      <formula>F75&gt;0</formula>
    </cfRule>
    <cfRule type="expression" dxfId="2234" priority="8">
      <formula>F75&lt;0</formula>
    </cfRule>
  </conditionalFormatting>
  <conditionalFormatting sqref="H75:H79">
    <cfRule type="expression" dxfId="2233" priority="5">
      <formula>H75&gt;0</formula>
    </cfRule>
    <cfRule type="expression" dxfId="2232" priority="6">
      <formula>H75&lt;0</formula>
    </cfRule>
  </conditionalFormatting>
  <conditionalFormatting sqref="F71:F74">
    <cfRule type="expression" dxfId="2231" priority="3">
      <formula>F71&gt;0</formula>
    </cfRule>
    <cfRule type="expression" dxfId="2230" priority="4">
      <formula>F71&lt;0</formula>
    </cfRule>
  </conditionalFormatting>
  <conditionalFormatting sqref="H71:H74">
    <cfRule type="expression" dxfId="2229" priority="1">
      <formula>H71&gt;0</formula>
    </cfRule>
    <cfRule type="expression" dxfId="222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31.58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31.58</v>
      </c>
      <c r="R4" s="508">
        <v>1.15E-2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34.738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34.422200000000004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34.106400000000001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33.790599999999998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33.474800000000002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33.158999999999999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32.843199999999996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32.5274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32.211599999999997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31.895799999999998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31.58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31.264199999999999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30.948399999999999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30.632599999999996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30.316799999999997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30.000999999999998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29.685199999999998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29.369399999999999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29.053599999999999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28.7378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28.422000000000001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734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100</v>
      </c>
      <c r="D84" s="531"/>
      <c r="E84" s="531"/>
      <c r="F84" s="531">
        <f>SUM(F68:F72)</f>
        <v>2248</v>
      </c>
      <c r="G84" s="530"/>
      <c r="H84" s="552">
        <f>SUM(H68:H71)</f>
        <v>100</v>
      </c>
      <c r="I84" s="531"/>
      <c r="J84" s="531"/>
      <c r="K84" s="531">
        <f>SUM(K68:K71)</f>
        <v>2805.94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27" priority="21">
      <formula>F47&gt;0</formula>
    </cfRule>
    <cfRule type="expression" dxfId="2226" priority="22">
      <formula>F47&lt;0</formula>
    </cfRule>
  </conditionalFormatting>
  <conditionalFormatting sqref="Q7">
    <cfRule type="expression" dxfId="2225" priority="19">
      <formula>Q7&gt;0</formula>
    </cfRule>
    <cfRule type="expression" dxfId="2224" priority="20">
      <formula>Q7&lt;0</formula>
    </cfRule>
  </conditionalFormatting>
  <conditionalFormatting sqref="Q8">
    <cfRule type="expression" dxfId="2223" priority="17">
      <formula>Q8&gt;0</formula>
    </cfRule>
    <cfRule type="expression" dxfId="2222" priority="18">
      <formula>Q8&lt;0</formula>
    </cfRule>
  </conditionalFormatting>
  <conditionalFormatting sqref="F25:F46">
    <cfRule type="expression" dxfId="2221" priority="15">
      <formula>F25&gt;0</formula>
    </cfRule>
    <cfRule type="expression" dxfId="2220" priority="16">
      <formula>F25&lt;0</formula>
    </cfRule>
  </conditionalFormatting>
  <conditionalFormatting sqref="H25:H46">
    <cfRule type="expression" dxfId="2219" priority="13">
      <formula>H25&gt;0</formula>
    </cfRule>
    <cfRule type="expression" dxfId="2218" priority="14">
      <formula>H25&lt;0</formula>
    </cfRule>
  </conditionalFormatting>
  <conditionalFormatting sqref="F89:F110">
    <cfRule type="expression" dxfId="2217" priority="11">
      <formula>F89&gt;0</formula>
    </cfRule>
    <cfRule type="expression" dxfId="2216" priority="12">
      <formula>F89&lt;0</formula>
    </cfRule>
  </conditionalFormatting>
  <conditionalFormatting sqref="H89:H110">
    <cfRule type="expression" dxfId="2215" priority="9">
      <formula>H89&gt;0</formula>
    </cfRule>
    <cfRule type="expression" dxfId="2214" priority="10">
      <formula>H89&lt;0</formula>
    </cfRule>
  </conditionalFormatting>
  <conditionalFormatting sqref="Q10">
    <cfRule type="expression" dxfId="2213" priority="7">
      <formula>Q10&gt;0</formula>
    </cfRule>
    <cfRule type="expression" dxfId="2212" priority="8">
      <formula>Q10&lt;0</formula>
    </cfRule>
  </conditionalFormatting>
  <conditionalFormatting sqref="J25:J38">
    <cfRule type="expression" dxfId="2211" priority="5">
      <formula>J25&gt;0</formula>
    </cfRule>
    <cfRule type="expression" dxfId="2210" priority="6">
      <formula>J25&lt;0</formula>
    </cfRule>
  </conditionalFormatting>
  <conditionalFormatting sqref="K25:K38">
    <cfRule type="expression" dxfId="2209" priority="3">
      <formula>K25&gt;0</formula>
    </cfRule>
    <cfRule type="expression" dxfId="2208" priority="4">
      <formula>K25&lt;0</formula>
    </cfRule>
  </conditionalFormatting>
  <conditionalFormatting sqref="L25:L38">
    <cfRule type="expression" dxfId="2207" priority="1">
      <formula>L25&gt;0</formula>
    </cfRule>
    <cfRule type="expression" dxfId="220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67.459999999999994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67.459999999999994</v>
      </c>
      <c r="R4" s="486">
        <v>-1.14E-2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74.206000000000003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73.531400000000005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72.856799999999993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72.182199999999995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71.507599999999996</v>
      </c>
      <c r="Q45" s="2"/>
      <c r="T45" s="91" t="s">
        <v>99</v>
      </c>
      <c r="U45" s="127" t="s">
        <v>609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70.832999999999998</v>
      </c>
      <c r="Q46" s="2"/>
      <c r="T46" s="91" t="s">
        <v>100</v>
      </c>
      <c r="U46" s="127" t="s">
        <v>610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70.1584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69.483800000000002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68.80919999999999</v>
      </c>
      <c r="Q49" s="2"/>
      <c r="T49" s="91" t="s">
        <v>121</v>
      </c>
      <c r="U49" s="127" t="s">
        <v>398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68.134599999999992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67.459999999999994</v>
      </c>
      <c r="Q51" s="2"/>
      <c r="T51" s="91" t="s">
        <v>104</v>
      </c>
      <c r="U51" s="127" t="s">
        <v>611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66.785399999999996</v>
      </c>
      <c r="Q52" s="2"/>
      <c r="T52" s="91" t="s">
        <v>105</v>
      </c>
      <c r="U52" s="127" t="s">
        <v>429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66.110799999999998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65.436199999999985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64.761599999999987</v>
      </c>
      <c r="T55" s="91" t="s">
        <v>107</v>
      </c>
      <c r="U55" s="127" t="s">
        <v>612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64.086999999999989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63.412399999999991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62.7378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62.063199999999995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61.388599999999997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60.713999999999999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49" t="s">
        <v>194</v>
      </c>
      <c r="B65" s="450"/>
      <c r="C65" s="451">
        <f>SumByColor($A$19,C48:C63)</f>
        <v>60</v>
      </c>
      <c r="D65" s="451"/>
      <c r="E65" s="451"/>
      <c r="F65" s="452">
        <f>SumByColor($A$19,F48:F63)</f>
        <v>2724</v>
      </c>
      <c r="G65" s="451"/>
      <c r="H65" s="451">
        <f>SumByColor($A$19,H48:H63)</f>
        <v>60</v>
      </c>
      <c r="I65" s="451"/>
      <c r="J65" s="451"/>
      <c r="K65" s="452">
        <f>SumByColor($A$19,K48:K63)</f>
        <v>2831</v>
      </c>
      <c r="L65" s="451"/>
      <c r="M65" s="45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9">
        <v>42577</v>
      </c>
      <c r="C70" s="370">
        <v>30</v>
      </c>
      <c r="D70" s="371">
        <v>52</v>
      </c>
      <c r="E70" s="371">
        <v>58.09</v>
      </c>
      <c r="F70" s="371">
        <f t="shared" ref="F70:F78" si="1">C70*(E70-D70)</f>
        <v>182.7000000000001</v>
      </c>
      <c r="G70" s="371">
        <f t="shared" ref="G70:G78" si="2">D70*C70</f>
        <v>1560</v>
      </c>
      <c r="H70" s="372">
        <f t="shared" ref="H70:H78" si="3">(E70-D70)/D70</f>
        <v>0.11711538461538468</v>
      </c>
      <c r="I70" s="371" t="s">
        <v>251</v>
      </c>
    </row>
    <row r="71" spans="1:31" x14ac:dyDescent="0.25">
      <c r="B71" s="369">
        <v>42578</v>
      </c>
      <c r="C71" s="370">
        <v>50</v>
      </c>
      <c r="D71" s="371">
        <v>50.607999999999997</v>
      </c>
      <c r="E71" s="371">
        <v>50.51</v>
      </c>
      <c r="F71" s="371">
        <f t="shared" si="1"/>
        <v>-4.8999999999999488</v>
      </c>
      <c r="G71" s="371">
        <f t="shared" si="2"/>
        <v>2530.3999999999996</v>
      </c>
      <c r="H71" s="372">
        <f t="shared" si="3"/>
        <v>-1.9364527347454747E-3</v>
      </c>
      <c r="I71" s="371"/>
    </row>
    <row r="72" spans="1:31" x14ac:dyDescent="0.25">
      <c r="B72" s="369">
        <v>42580</v>
      </c>
      <c r="C72" s="370">
        <v>20</v>
      </c>
      <c r="D72" s="371">
        <v>50.396500000000003</v>
      </c>
      <c r="E72" s="371">
        <v>50.53</v>
      </c>
      <c r="F72" s="371">
        <f t="shared" si="1"/>
        <v>2.6699999999999591</v>
      </c>
      <c r="G72" s="371">
        <f t="shared" si="2"/>
        <v>1007.9300000000001</v>
      </c>
      <c r="H72" s="372">
        <f t="shared" si="3"/>
        <v>2.6489934816901562E-3</v>
      </c>
      <c r="I72" s="371" t="s">
        <v>254</v>
      </c>
    </row>
    <row r="73" spans="1:31" x14ac:dyDescent="0.25">
      <c r="B73" s="369">
        <v>42585</v>
      </c>
      <c r="C73" s="370">
        <v>20</v>
      </c>
      <c r="D73" s="371">
        <v>50.396500000000003</v>
      </c>
      <c r="E73" s="371">
        <v>49.96</v>
      </c>
      <c r="F73" s="371">
        <f t="shared" si="1"/>
        <v>-8.7300000000000466</v>
      </c>
      <c r="G73" s="371">
        <f t="shared" si="2"/>
        <v>1007.9300000000001</v>
      </c>
      <c r="H73" s="372">
        <f t="shared" si="3"/>
        <v>-8.6613157659758567E-3</v>
      </c>
      <c r="I73" s="371"/>
    </row>
    <row r="74" spans="1:31" x14ac:dyDescent="0.25">
      <c r="B74" s="369">
        <v>42593</v>
      </c>
      <c r="C74" s="370">
        <v>20</v>
      </c>
      <c r="D74" s="371">
        <v>50.396500000000003</v>
      </c>
      <c r="E74" s="371">
        <v>52.02</v>
      </c>
      <c r="F74" s="371">
        <f t="shared" si="1"/>
        <v>32.47</v>
      </c>
      <c r="G74" s="371">
        <f t="shared" si="2"/>
        <v>1007.9300000000001</v>
      </c>
      <c r="H74" s="372">
        <f t="shared" si="3"/>
        <v>3.22145387080452E-2</v>
      </c>
      <c r="I74" s="371"/>
    </row>
    <row r="75" spans="1:31" x14ac:dyDescent="0.25">
      <c r="B75" s="369">
        <v>42601</v>
      </c>
      <c r="C75" s="370">
        <v>20</v>
      </c>
      <c r="D75" s="371">
        <v>50.396500000000003</v>
      </c>
      <c r="E75" s="371">
        <v>52.95</v>
      </c>
      <c r="F75" s="371">
        <f t="shared" si="1"/>
        <v>51.069999999999993</v>
      </c>
      <c r="G75" s="371">
        <f t="shared" si="2"/>
        <v>1007.9300000000001</v>
      </c>
      <c r="H75" s="372">
        <f t="shared" si="3"/>
        <v>5.0668201164763414E-2</v>
      </c>
      <c r="I75" s="371"/>
    </row>
    <row r="76" spans="1:31" x14ac:dyDescent="0.25">
      <c r="B76" s="369">
        <v>42605</v>
      </c>
      <c r="C76" s="370">
        <v>20</v>
      </c>
      <c r="D76" s="371">
        <v>50.396500000000003</v>
      </c>
      <c r="E76" s="371">
        <v>53.6</v>
      </c>
      <c r="F76" s="371">
        <f t="shared" si="1"/>
        <v>64.069999999999965</v>
      </c>
      <c r="G76" s="371">
        <f t="shared" si="2"/>
        <v>1007.9300000000001</v>
      </c>
      <c r="H76" s="372">
        <f t="shared" si="3"/>
        <v>6.3565922236663228E-2</v>
      </c>
      <c r="I76" s="371"/>
    </row>
    <row r="77" spans="1:31" x14ac:dyDescent="0.25">
      <c r="B77" s="369">
        <v>42606</v>
      </c>
      <c r="C77" s="370">
        <v>20</v>
      </c>
      <c r="D77" s="371">
        <v>50.396500000000003</v>
      </c>
      <c r="E77" s="371">
        <v>53.98</v>
      </c>
      <c r="F77" s="371">
        <f t="shared" si="1"/>
        <v>71.669999999999874</v>
      </c>
      <c r="G77" s="371">
        <f t="shared" si="2"/>
        <v>1007.9300000000001</v>
      </c>
      <c r="H77" s="372">
        <f t="shared" si="3"/>
        <v>7.1106128401773799E-2</v>
      </c>
      <c r="I77" s="371"/>
    </row>
    <row r="78" spans="1:31" x14ac:dyDescent="0.25">
      <c r="B78" s="369">
        <v>42609</v>
      </c>
      <c r="C78" s="370">
        <v>20</v>
      </c>
      <c r="D78" s="371">
        <v>50.396500000000003</v>
      </c>
      <c r="E78" s="371">
        <v>55.31</v>
      </c>
      <c r="F78" s="371">
        <f t="shared" si="1"/>
        <v>98.269999999999982</v>
      </c>
      <c r="G78" s="371">
        <f t="shared" si="2"/>
        <v>1007.9300000000001</v>
      </c>
      <c r="H78" s="372">
        <f t="shared" si="3"/>
        <v>9.7496849979661265E-2</v>
      </c>
      <c r="I78" s="453"/>
    </row>
    <row r="79" spans="1:31" x14ac:dyDescent="0.25">
      <c r="B79" s="369">
        <v>42611</v>
      </c>
      <c r="C79" s="370">
        <v>0</v>
      </c>
      <c r="D79" s="371"/>
      <c r="E79" s="371"/>
      <c r="F79" s="371">
        <v>92.65</v>
      </c>
      <c r="G79" s="371"/>
      <c r="H79" s="372"/>
      <c r="I79" s="371"/>
    </row>
    <row r="80" spans="1:31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205" priority="23">
      <formula>F34&gt;0</formula>
    </cfRule>
    <cfRule type="expression" dxfId="2204" priority="24">
      <formula>F34&lt;0</formula>
    </cfRule>
  </conditionalFormatting>
  <conditionalFormatting sqref="Q7">
    <cfRule type="expression" dxfId="2203" priority="21">
      <formula>Q7&gt;0</formula>
    </cfRule>
    <cfRule type="expression" dxfId="2202" priority="22">
      <formula>Q7&lt;0</formula>
    </cfRule>
  </conditionalFormatting>
  <conditionalFormatting sqref="Q8">
    <cfRule type="expression" dxfId="2201" priority="19">
      <formula>Q8&gt;0</formula>
    </cfRule>
    <cfRule type="expression" dxfId="2200" priority="20">
      <formula>Q8&lt;0</formula>
    </cfRule>
  </conditionalFormatting>
  <conditionalFormatting sqref="F25:F33">
    <cfRule type="expression" dxfId="2199" priority="17">
      <formula>F25&gt;0</formula>
    </cfRule>
    <cfRule type="expression" dxfId="2198" priority="18">
      <formula>F25&lt;0</formula>
    </cfRule>
  </conditionalFormatting>
  <conditionalFormatting sqref="H25:H33">
    <cfRule type="expression" dxfId="2197" priority="15">
      <formula>H25&gt;0</formula>
    </cfRule>
    <cfRule type="expression" dxfId="2196" priority="16">
      <formula>H25&lt;0</formula>
    </cfRule>
  </conditionalFormatting>
  <conditionalFormatting sqref="M46">
    <cfRule type="expression" dxfId="2195" priority="13">
      <formula>M46&gt;0</formula>
    </cfRule>
    <cfRule type="expression" dxfId="2194" priority="14">
      <formula>M46&lt;0</formula>
    </cfRule>
  </conditionalFormatting>
  <conditionalFormatting sqref="F79:F87 H79:H87">
    <cfRule type="expression" dxfId="2193" priority="11">
      <formula>F79&gt;0</formula>
    </cfRule>
    <cfRule type="expression" dxfId="2192" priority="12">
      <formula>F79&lt;0</formula>
    </cfRule>
  </conditionalFormatting>
  <conditionalFormatting sqref="F70:F78">
    <cfRule type="expression" dxfId="2191" priority="9">
      <formula>F70&gt;0</formula>
    </cfRule>
    <cfRule type="expression" dxfId="2190" priority="10">
      <formula>F70&lt;0</formula>
    </cfRule>
  </conditionalFormatting>
  <conditionalFormatting sqref="H70:H78">
    <cfRule type="expression" dxfId="2189" priority="7">
      <formula>H70&gt;0</formula>
    </cfRule>
    <cfRule type="expression" dxfId="2188" priority="8">
      <formula>H70&lt;0</formula>
    </cfRule>
  </conditionalFormatting>
  <conditionalFormatting sqref="J27:K27 J30:K30 J33:K33 J36:K36 J39:K39 J42:K42">
    <cfRule type="expression" dxfId="2187" priority="5">
      <formula>J27&gt;0</formula>
    </cfRule>
    <cfRule type="expression" dxfId="2186" priority="6">
      <formula>J27&lt;0</formula>
    </cfRule>
  </conditionalFormatting>
  <conditionalFormatting sqref="J28:K29 J31:K32 J34:K35 J37:K38 J40:K41">
    <cfRule type="expression" dxfId="2185" priority="3">
      <formula>J28&gt;0</formula>
    </cfRule>
    <cfRule type="expression" dxfId="2184" priority="4">
      <formula>J28&lt;0</formula>
    </cfRule>
  </conditionalFormatting>
  <conditionalFormatting sqref="L27:L42">
    <cfRule type="expression" dxfId="2183" priority="1">
      <formula>L27&gt;0</formula>
    </cfRule>
    <cfRule type="expression" dxfId="218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711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24.39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24.39</v>
      </c>
      <c r="R4" s="486">
        <v>-1.41E-2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26.829000000000004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26.585100000000004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26.341200000000001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26.097300000000001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25.853400000000001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25.609500000000001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25.365600000000001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25.121700000000001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24.877800000000001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24.633900000000001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24.39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24.146100000000001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23.902200000000001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23.658300000000001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23.414400000000001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23.170500000000001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22.926600000000001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22.682700000000001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22.438800000000001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22.194900000000001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21.951000000000001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6" t="s">
        <v>1</v>
      </c>
      <c r="B74" s="376" t="s">
        <v>2</v>
      </c>
      <c r="C74" s="376" t="s">
        <v>4</v>
      </c>
      <c r="D74" s="378" t="s">
        <v>5</v>
      </c>
      <c r="E74" s="378" t="s">
        <v>94</v>
      </c>
      <c r="F74" s="378" t="s">
        <v>60</v>
      </c>
      <c r="G74" s="376" t="s">
        <v>3</v>
      </c>
      <c r="H74" s="376" t="s">
        <v>6</v>
      </c>
      <c r="I74" s="378" t="s">
        <v>7</v>
      </c>
      <c r="J74" s="378" t="s">
        <v>95</v>
      </c>
      <c r="K74" s="378" t="s">
        <v>61</v>
      </c>
      <c r="L74" s="376" t="s">
        <v>37</v>
      </c>
      <c r="M74" s="376" t="s">
        <v>38</v>
      </c>
    </row>
    <row r="75" spans="1:31" x14ac:dyDescent="0.25">
      <c r="A75" s="379" t="s">
        <v>711</v>
      </c>
      <c r="B75" s="369">
        <v>42843</v>
      </c>
      <c r="C75" s="370">
        <v>100</v>
      </c>
      <c r="D75" s="371">
        <v>24.68</v>
      </c>
      <c r="E75" s="371">
        <v>0</v>
      </c>
      <c r="F75" s="371">
        <f>C75*D75+E75</f>
        <v>2468</v>
      </c>
      <c r="G75" s="369">
        <v>42874</v>
      </c>
      <c r="H75" s="371">
        <v>100</v>
      </c>
      <c r="I75" s="371">
        <v>27.71</v>
      </c>
      <c r="J75" s="371">
        <v>-0.26</v>
      </c>
      <c r="K75" s="371">
        <f>H75*I75-J75</f>
        <v>2771.26</v>
      </c>
      <c r="L75" s="369">
        <v>42880</v>
      </c>
      <c r="M75" s="371">
        <v>6</v>
      </c>
    </row>
    <row r="76" spans="1:31" x14ac:dyDescent="0.25">
      <c r="A76" s="380" t="s">
        <v>71</v>
      </c>
      <c r="B76" s="369"/>
      <c r="C76" s="370"/>
      <c r="D76" s="371"/>
      <c r="E76" s="371"/>
      <c r="F76" s="371"/>
      <c r="G76" s="369"/>
      <c r="H76" s="374"/>
      <c r="I76" s="371"/>
      <c r="J76" s="371"/>
      <c r="K76" s="371"/>
      <c r="L76" s="369"/>
      <c r="M76" s="371"/>
    </row>
    <row r="77" spans="1:31" x14ac:dyDescent="0.25">
      <c r="A77" s="370"/>
      <c r="B77" s="369"/>
      <c r="C77" s="370"/>
      <c r="D77" s="371"/>
      <c r="E77" s="371"/>
      <c r="F77" s="371"/>
      <c r="G77" s="369"/>
      <c r="H77" s="374"/>
      <c r="I77" s="371"/>
      <c r="J77" s="371"/>
      <c r="K77" s="371"/>
      <c r="L77" s="370"/>
      <c r="M77" s="370"/>
    </row>
    <row r="78" spans="1:31" x14ac:dyDescent="0.25">
      <c r="A78" s="370"/>
      <c r="B78" s="369"/>
      <c r="C78" s="370"/>
      <c r="D78" s="371"/>
      <c r="E78" s="371"/>
      <c r="F78" s="371"/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/>
      <c r="C79" s="370"/>
      <c r="D79" s="371"/>
      <c r="E79" s="371"/>
      <c r="F79" s="371"/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369"/>
      <c r="C80" s="370"/>
      <c r="D80" s="371"/>
      <c r="E80" s="371"/>
      <c r="F80" s="371"/>
      <c r="G80" s="370"/>
      <c r="H80" s="374"/>
      <c r="I80" s="371"/>
      <c r="J80" s="371"/>
      <c r="K80" s="371"/>
      <c r="L80" s="370"/>
      <c r="M80" s="370"/>
    </row>
    <row r="81" spans="1:13" x14ac:dyDescent="0.25">
      <c r="A81" s="370"/>
      <c r="B81" s="370"/>
      <c r="C81" s="370"/>
      <c r="D81" s="371"/>
      <c r="E81" s="371"/>
      <c r="F81" s="371"/>
      <c r="G81" s="370"/>
      <c r="H81" s="374"/>
      <c r="I81" s="371"/>
      <c r="J81" s="371"/>
      <c r="K81" s="371"/>
      <c r="L81" s="370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370"/>
      <c r="B85" s="370"/>
      <c r="C85" s="370"/>
      <c r="D85" s="371"/>
      <c r="E85" s="371"/>
      <c r="F85" s="371"/>
      <c r="G85" s="370"/>
      <c r="H85" s="374"/>
      <c r="I85" s="371"/>
      <c r="J85" s="371"/>
      <c r="K85" s="371"/>
      <c r="L85" s="370"/>
      <c r="M85" s="370"/>
    </row>
    <row r="86" spans="1:13" x14ac:dyDescent="0.25">
      <c r="A86" s="370"/>
      <c r="B86" s="370"/>
      <c r="C86" s="370"/>
      <c r="D86" s="371"/>
      <c r="E86" s="371"/>
      <c r="F86" s="371"/>
      <c r="G86" s="370"/>
      <c r="H86" s="374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4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4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4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2181" priority="9">
      <formula>F57&gt;0</formula>
    </cfRule>
    <cfRule type="expression" dxfId="2180" priority="10">
      <formula>F57&lt;0</formula>
    </cfRule>
  </conditionalFormatting>
  <conditionalFormatting sqref="Q7">
    <cfRule type="expression" dxfId="2179" priority="7">
      <formula>Q7&gt;0</formula>
    </cfRule>
    <cfRule type="expression" dxfId="2178" priority="8">
      <formula>Q7&lt;0</formula>
    </cfRule>
  </conditionalFormatting>
  <conditionalFormatting sqref="Q8">
    <cfRule type="expression" dxfId="2177" priority="5">
      <formula>Q8&gt;0</formula>
    </cfRule>
    <cfRule type="expression" dxfId="2176" priority="6">
      <formula>Q8&lt;0</formula>
    </cfRule>
  </conditionalFormatting>
  <conditionalFormatting sqref="F25:F56">
    <cfRule type="expression" dxfId="2175" priority="3">
      <formula>F25&gt;0</formula>
    </cfRule>
    <cfRule type="expression" dxfId="2174" priority="4">
      <formula>F25&lt;0</formula>
    </cfRule>
  </conditionalFormatting>
  <conditionalFormatting sqref="H25:H56">
    <cfRule type="expression" dxfId="2173" priority="1">
      <formula>H25&gt;0</formula>
    </cfRule>
    <cfRule type="expression" dxfId="217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7">
        <f>IF(Q2=0, Q4, (F18-K18-M18)/Q2)</f>
        <v>67.73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67.73</v>
      </c>
      <c r="R4" s="486">
        <v>-7.6E-3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74.503000000000014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73.825700000000012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73.148400000000009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72.471100000000007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71.793800000000005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71.116500000000002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70.4392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69.761900000000011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69.084600000000009</v>
      </c>
      <c r="Q49" s="2"/>
      <c r="T49" s="91" t="s">
        <v>103</v>
      </c>
      <c r="U49" s="127" t="s">
        <v>485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68.407300000000006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67.73</v>
      </c>
      <c r="Q51" s="2"/>
      <c r="T51" s="91" t="s">
        <v>104</v>
      </c>
      <c r="U51" s="127" t="s">
        <v>613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67.052700000000002</v>
      </c>
      <c r="Q52" s="2"/>
      <c r="T52" s="91" t="s">
        <v>105</v>
      </c>
      <c r="U52" s="127" t="s">
        <v>310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66.375399999999999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65.698099999999997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65.020800000000008</v>
      </c>
      <c r="T55" s="91" t="s">
        <v>107</v>
      </c>
      <c r="U55" s="127" t="s">
        <v>614</v>
      </c>
      <c r="W55" s="130">
        <v>42755</v>
      </c>
      <c r="X55" s="10" t="s">
        <v>352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64.343500000000006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63.666200000000003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62.988900000000008</v>
      </c>
      <c r="T58" s="91" t="s">
        <v>108</v>
      </c>
      <c r="U58" s="127" t="s">
        <v>538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6" t="s">
        <v>1</v>
      </c>
      <c r="B59" s="376" t="s">
        <v>2</v>
      </c>
      <c r="C59" s="376" t="s">
        <v>4</v>
      </c>
      <c r="D59" s="378" t="s">
        <v>5</v>
      </c>
      <c r="E59" s="378" t="s">
        <v>94</v>
      </c>
      <c r="F59" s="378" t="s">
        <v>60</v>
      </c>
      <c r="G59" s="376" t="s">
        <v>3</v>
      </c>
      <c r="H59" s="376" t="s">
        <v>6</v>
      </c>
      <c r="I59" s="378" t="s">
        <v>7</v>
      </c>
      <c r="J59" s="378" t="s">
        <v>95</v>
      </c>
      <c r="K59" s="378" t="s">
        <v>61</v>
      </c>
      <c r="L59" s="376" t="s">
        <v>37</v>
      </c>
      <c r="M59" s="376" t="s">
        <v>38</v>
      </c>
      <c r="O59" s="81">
        <v>0.92</v>
      </c>
      <c r="P59" s="81">
        <f t="shared" si="1"/>
        <v>62.311600000000006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79" t="s">
        <v>278</v>
      </c>
      <c r="B60" s="369">
        <v>42626</v>
      </c>
      <c r="C60" s="370">
        <v>20</v>
      </c>
      <c r="D60" s="371">
        <v>90.85</v>
      </c>
      <c r="E60" s="371">
        <v>0</v>
      </c>
      <c r="F60" s="371">
        <f t="shared" ref="F60:F65" si="2">D60*C60 + E60</f>
        <v>1817</v>
      </c>
      <c r="G60" s="369">
        <v>42762</v>
      </c>
      <c r="H60" s="370">
        <v>40</v>
      </c>
      <c r="I60" s="371">
        <v>77.78</v>
      </c>
      <c r="J60" s="371">
        <v>7.0000000000000007E-2</v>
      </c>
      <c r="K60" s="371">
        <f>I60*H60 - J60</f>
        <v>3111.1299999999997</v>
      </c>
      <c r="L60" s="369">
        <v>42678</v>
      </c>
      <c r="M60" s="371">
        <v>17</v>
      </c>
      <c r="O60" s="81">
        <v>0.91</v>
      </c>
      <c r="P60" s="81">
        <f t="shared" si="1"/>
        <v>61.634300000000003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0" t="s">
        <v>71</v>
      </c>
      <c r="B61" s="369">
        <v>42646</v>
      </c>
      <c r="C61" s="370">
        <v>20</v>
      </c>
      <c r="D61" s="371">
        <v>87.56</v>
      </c>
      <c r="E61" s="371">
        <v>0</v>
      </c>
      <c r="F61" s="371">
        <f t="shared" si="2"/>
        <v>1751.2</v>
      </c>
      <c r="G61" s="369">
        <v>42788</v>
      </c>
      <c r="H61" s="374">
        <v>40</v>
      </c>
      <c r="I61" s="371">
        <v>80.38</v>
      </c>
      <c r="J61" s="371">
        <v>7.0000000000000007E-2</v>
      </c>
      <c r="K61" s="371">
        <f>I61*H61 - J61</f>
        <v>3215.1299999999997</v>
      </c>
      <c r="L61" s="369">
        <v>42769</v>
      </c>
      <c r="M61" s="371">
        <v>40</v>
      </c>
      <c r="O61" s="81">
        <v>0.9</v>
      </c>
      <c r="P61" s="81">
        <f t="shared" si="1"/>
        <v>60.957000000000008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0"/>
      <c r="B62" s="369">
        <v>42677</v>
      </c>
      <c r="C62" s="370">
        <v>40</v>
      </c>
      <c r="D62" s="371">
        <v>81.98</v>
      </c>
      <c r="E62" s="371">
        <v>0</v>
      </c>
      <c r="F62" s="371">
        <f t="shared" si="2"/>
        <v>3279.2000000000003</v>
      </c>
      <c r="G62" s="369">
        <v>42796</v>
      </c>
      <c r="H62" s="374">
        <v>80</v>
      </c>
      <c r="I62" s="371">
        <v>81.2</v>
      </c>
      <c r="J62" s="371">
        <v>0.14000000000000001</v>
      </c>
      <c r="K62" s="371">
        <f>I62*H62 - J62</f>
        <v>6495.86</v>
      </c>
      <c r="L62" s="369">
        <v>42856</v>
      </c>
      <c r="M62" s="370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0"/>
      <c r="B63" s="369">
        <v>42760</v>
      </c>
      <c r="C63" s="370">
        <v>20</v>
      </c>
      <c r="D63" s="371">
        <v>80.28</v>
      </c>
      <c r="E63" s="371">
        <v>0</v>
      </c>
      <c r="F63" s="371">
        <f t="shared" si="2"/>
        <v>1605.6</v>
      </c>
      <c r="G63" s="369">
        <v>42850</v>
      </c>
      <c r="H63" s="374">
        <v>60</v>
      </c>
      <c r="I63" s="371">
        <v>81.98</v>
      </c>
      <c r="J63" s="371">
        <v>0.11</v>
      </c>
      <c r="K63" s="371">
        <f>I63*H63 - J63</f>
        <v>4918.6900000000005</v>
      </c>
      <c r="L63" s="370"/>
      <c r="M63" s="370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0"/>
      <c r="B64" s="369">
        <v>42762</v>
      </c>
      <c r="C64" s="370">
        <v>80</v>
      </c>
      <c r="D64" s="371">
        <v>77.180000000000007</v>
      </c>
      <c r="E64" s="371">
        <v>0</v>
      </c>
      <c r="F64" s="371">
        <f t="shared" si="2"/>
        <v>6174.4000000000005</v>
      </c>
      <c r="G64" s="370"/>
      <c r="H64" s="374"/>
      <c r="I64" s="371"/>
      <c r="J64" s="371"/>
      <c r="K64" s="371"/>
      <c r="L64" s="370"/>
      <c r="M64" s="370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0"/>
      <c r="B65" s="369">
        <v>42768</v>
      </c>
      <c r="C65" s="370">
        <v>40</v>
      </c>
      <c r="D65" s="371">
        <v>75.08</v>
      </c>
      <c r="E65" s="371">
        <v>0</v>
      </c>
      <c r="F65" s="371">
        <f t="shared" si="2"/>
        <v>3003.2</v>
      </c>
      <c r="G65" s="370"/>
      <c r="H65" s="374"/>
      <c r="I65" s="371"/>
      <c r="J65" s="371"/>
      <c r="K65" s="371"/>
      <c r="L65" s="370"/>
      <c r="M65" s="370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0"/>
      <c r="B66" s="370"/>
      <c r="C66" s="370"/>
      <c r="D66" s="371"/>
      <c r="E66" s="371"/>
      <c r="F66" s="371"/>
      <c r="G66" s="370"/>
      <c r="H66" s="374"/>
      <c r="I66" s="371"/>
      <c r="J66" s="371"/>
      <c r="K66" s="371"/>
      <c r="L66" s="370"/>
      <c r="M66" s="370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0"/>
      <c r="B67" s="370"/>
      <c r="C67" s="370"/>
      <c r="D67" s="371"/>
      <c r="E67" s="371"/>
      <c r="F67" s="371"/>
      <c r="G67" s="370"/>
      <c r="H67" s="374"/>
      <c r="I67" s="371"/>
      <c r="J67" s="371"/>
      <c r="K67" s="371"/>
      <c r="L67" s="370"/>
      <c r="M67" s="370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0"/>
      <c r="B68" s="370"/>
      <c r="C68" s="370"/>
      <c r="D68" s="371"/>
      <c r="E68" s="371"/>
      <c r="F68" s="371"/>
      <c r="G68" s="370"/>
      <c r="H68" s="374"/>
      <c r="I68" s="371"/>
      <c r="J68" s="371"/>
      <c r="K68" s="371"/>
      <c r="L68" s="370"/>
      <c r="M68" s="370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0"/>
      <c r="B69" s="370"/>
      <c r="C69" s="370"/>
      <c r="D69" s="371"/>
      <c r="E69" s="371"/>
      <c r="F69" s="371"/>
      <c r="G69" s="370"/>
      <c r="H69" s="374"/>
      <c r="I69" s="371"/>
      <c r="J69" s="371"/>
      <c r="K69" s="371"/>
      <c r="L69" s="370"/>
      <c r="M69" s="370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0"/>
      <c r="B70" s="370"/>
      <c r="C70" s="370"/>
      <c r="D70" s="371"/>
      <c r="E70" s="371"/>
      <c r="F70" s="371"/>
      <c r="G70" s="370"/>
      <c r="H70" s="374"/>
      <c r="I70" s="371"/>
      <c r="J70" s="371"/>
      <c r="K70" s="371"/>
      <c r="L70" s="370"/>
      <c r="M70" s="370"/>
    </row>
    <row r="71" spans="1:31" x14ac:dyDescent="0.25">
      <c r="A71" s="370"/>
      <c r="B71" s="370"/>
      <c r="C71" s="370"/>
      <c r="D71" s="371"/>
      <c r="E71" s="371"/>
      <c r="F71" s="371"/>
      <c r="G71" s="370"/>
      <c r="H71" s="374"/>
      <c r="I71" s="371"/>
      <c r="J71" s="371"/>
      <c r="K71" s="371"/>
      <c r="L71" s="370"/>
      <c r="M71" s="370"/>
    </row>
    <row r="72" spans="1:31" x14ac:dyDescent="0.25">
      <c r="A72" s="370"/>
      <c r="B72" s="370"/>
      <c r="C72" s="370"/>
      <c r="D72" s="371"/>
      <c r="E72" s="371"/>
      <c r="F72" s="371"/>
      <c r="G72" s="370"/>
      <c r="H72" s="374"/>
      <c r="I72" s="371"/>
      <c r="J72" s="371"/>
      <c r="K72" s="371"/>
      <c r="L72" s="370"/>
      <c r="M72" s="370"/>
    </row>
    <row r="73" spans="1:31" x14ac:dyDescent="0.25">
      <c r="A73" s="370"/>
      <c r="B73" s="370"/>
      <c r="C73" s="370"/>
      <c r="D73" s="371"/>
      <c r="E73" s="371"/>
      <c r="F73" s="371"/>
      <c r="G73" s="370"/>
      <c r="H73" s="374"/>
      <c r="I73" s="371"/>
      <c r="J73" s="371"/>
      <c r="K73" s="371"/>
      <c r="L73" s="370"/>
      <c r="M73" s="370"/>
    </row>
    <row r="74" spans="1:31" x14ac:dyDescent="0.25">
      <c r="A74" s="370"/>
      <c r="B74" s="370"/>
      <c r="C74" s="370"/>
      <c r="D74" s="371"/>
      <c r="E74" s="371"/>
      <c r="F74" s="371"/>
      <c r="G74" s="370"/>
      <c r="H74" s="374"/>
      <c r="I74" s="371"/>
      <c r="J74" s="371"/>
      <c r="K74" s="371"/>
      <c r="L74" s="370"/>
      <c r="M74" s="370"/>
    </row>
    <row r="75" spans="1:31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4" t="s">
        <v>194</v>
      </c>
      <c r="B77" s="455"/>
      <c r="C77" s="456">
        <f>SumByColor($A$19,C60:C75)</f>
        <v>0</v>
      </c>
      <c r="D77" s="456"/>
      <c r="E77" s="456"/>
      <c r="F77" s="457">
        <f>SumByColor($A$19,F60:F75)</f>
        <v>0</v>
      </c>
      <c r="G77" s="456"/>
      <c r="H77" s="456">
        <f>SumByColor($A$19,H60:H75)</f>
        <v>0</v>
      </c>
      <c r="I77" s="456"/>
      <c r="J77" s="456"/>
      <c r="K77" s="457">
        <f>SumByColor($A$19,K60:K75)</f>
        <v>0</v>
      </c>
      <c r="L77" s="456"/>
      <c r="M77" s="457">
        <f>SumByColor($A$19,M60:M75)</f>
        <v>0</v>
      </c>
    </row>
    <row r="78" spans="1:31" x14ac:dyDescent="0.25">
      <c r="A78" s="370"/>
      <c r="B78" s="370"/>
      <c r="C78" s="370"/>
      <c r="D78" s="371"/>
      <c r="E78" s="371"/>
      <c r="F78" s="371"/>
      <c r="G78" s="370"/>
      <c r="H78" s="370"/>
      <c r="I78" s="371"/>
      <c r="J78" s="371"/>
      <c r="K78" s="371"/>
      <c r="L78" s="370"/>
      <c r="M78" s="370"/>
    </row>
    <row r="82" spans="1:12" x14ac:dyDescent="0.25">
      <c r="A82" s="370"/>
      <c r="B82" s="370"/>
      <c r="C82" s="370"/>
      <c r="D82" s="371"/>
      <c r="E82" s="371"/>
      <c r="F82" s="371"/>
      <c r="G82" s="370"/>
      <c r="H82" s="370"/>
      <c r="I82" s="371"/>
      <c r="J82" s="371"/>
      <c r="K82" s="371"/>
      <c r="L82" s="370"/>
    </row>
    <row r="83" spans="1:12" x14ac:dyDescent="0.25">
      <c r="A83" s="370"/>
      <c r="B83" s="497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371"/>
      <c r="K83" s="371"/>
      <c r="L83" s="370"/>
    </row>
    <row r="84" spans="1:12" x14ac:dyDescent="0.25">
      <c r="A84" s="370"/>
      <c r="B84" s="369">
        <v>42626</v>
      </c>
      <c r="C84" s="370">
        <v>20</v>
      </c>
      <c r="D84" s="371">
        <v>90.85</v>
      </c>
      <c r="E84" s="371">
        <v>90.93</v>
      </c>
      <c r="F84" s="371">
        <f t="shared" ref="F84:F107" si="3">C84*(E84-D84)</f>
        <v>1.6000000000002501</v>
      </c>
      <c r="G84" s="371">
        <f t="shared" ref="G84:G107" si="4">D84*C84</f>
        <v>1817</v>
      </c>
      <c r="H84" s="372">
        <f t="shared" ref="H84:H107" si="5">(E84-D84)/D84</f>
        <v>8.8057237204196487E-4</v>
      </c>
      <c r="I84" s="371"/>
      <c r="J84" s="371"/>
      <c r="K84" s="371"/>
      <c r="L84" s="370"/>
    </row>
    <row r="85" spans="1:12" x14ac:dyDescent="0.25">
      <c r="A85" s="370"/>
      <c r="B85" s="369">
        <v>42627</v>
      </c>
      <c r="C85" s="370">
        <v>20</v>
      </c>
      <c r="D85" s="371">
        <v>90.85</v>
      </c>
      <c r="E85" s="371">
        <v>89.44</v>
      </c>
      <c r="F85" s="371">
        <f t="shared" si="3"/>
        <v>-28.199999999999932</v>
      </c>
      <c r="G85" s="371">
        <f t="shared" si="4"/>
        <v>1817</v>
      </c>
      <c r="H85" s="372">
        <f t="shared" si="5"/>
        <v>-1.5520088057237168E-2</v>
      </c>
      <c r="I85" s="371"/>
      <c r="J85" s="371"/>
      <c r="K85" s="371"/>
      <c r="L85" s="370"/>
    </row>
    <row r="86" spans="1:12" x14ac:dyDescent="0.25">
      <c r="A86" s="370"/>
      <c r="B86" s="369">
        <v>42640</v>
      </c>
      <c r="C86" s="370">
        <v>20</v>
      </c>
      <c r="D86" s="371">
        <v>90.85</v>
      </c>
      <c r="E86" s="371">
        <v>90.56</v>
      </c>
      <c r="F86" s="371">
        <f t="shared" si="3"/>
        <v>-5.7999999999998408</v>
      </c>
      <c r="G86" s="371">
        <f t="shared" si="4"/>
        <v>1817</v>
      </c>
      <c r="H86" s="372">
        <f t="shared" si="5"/>
        <v>-3.1920748486515362E-3</v>
      </c>
      <c r="I86" s="371"/>
      <c r="J86" s="371"/>
      <c r="K86" s="371"/>
      <c r="L86" s="370"/>
    </row>
    <row r="87" spans="1:12" x14ac:dyDescent="0.25">
      <c r="A87" s="370"/>
      <c r="B87" s="369">
        <v>42646</v>
      </c>
      <c r="C87" s="370">
        <v>40</v>
      </c>
      <c r="D87" s="371">
        <v>89.204999999999998</v>
      </c>
      <c r="E87" s="371">
        <v>87.09</v>
      </c>
      <c r="F87" s="371">
        <f t="shared" si="3"/>
        <v>-84.599999999999795</v>
      </c>
      <c r="G87" s="371">
        <f t="shared" si="4"/>
        <v>3568.2</v>
      </c>
      <c r="H87" s="372">
        <f t="shared" si="5"/>
        <v>-2.3709433327728211E-2</v>
      </c>
      <c r="I87" s="371"/>
      <c r="J87" s="371"/>
      <c r="K87" s="371"/>
      <c r="L87" s="370"/>
    </row>
    <row r="88" spans="1:12" x14ac:dyDescent="0.25">
      <c r="A88" s="370"/>
      <c r="B88" s="369">
        <v>42651</v>
      </c>
      <c r="C88" s="370">
        <v>40</v>
      </c>
      <c r="D88" s="371">
        <v>89.204999999999998</v>
      </c>
      <c r="E88" s="371">
        <v>86.4</v>
      </c>
      <c r="F88" s="371">
        <f t="shared" si="3"/>
        <v>-112.1999999999997</v>
      </c>
      <c r="G88" s="371">
        <f t="shared" si="4"/>
        <v>3568.2</v>
      </c>
      <c r="H88" s="372">
        <f t="shared" si="5"/>
        <v>-3.1444425760887761E-2</v>
      </c>
      <c r="I88" s="371"/>
      <c r="J88" s="371"/>
      <c r="K88" s="371"/>
      <c r="L88" s="370"/>
    </row>
    <row r="89" spans="1:12" x14ac:dyDescent="0.25">
      <c r="A89" s="370"/>
      <c r="B89" s="369">
        <v>42674</v>
      </c>
      <c r="C89" s="370">
        <v>40</v>
      </c>
      <c r="D89" s="371">
        <v>89.204999999999998</v>
      </c>
      <c r="E89" s="371">
        <v>84.1</v>
      </c>
      <c r="F89" s="371">
        <f t="shared" si="3"/>
        <v>-204.20000000000016</v>
      </c>
      <c r="G89" s="371">
        <f t="shared" si="4"/>
        <v>3568.2</v>
      </c>
      <c r="H89" s="372">
        <f t="shared" si="5"/>
        <v>-5.7227733871419807E-2</v>
      </c>
      <c r="I89" s="371"/>
      <c r="J89" s="371"/>
      <c r="K89" s="371"/>
      <c r="L89" s="370"/>
    </row>
    <row r="90" spans="1:12" x14ac:dyDescent="0.25">
      <c r="A90" s="370"/>
      <c r="B90" s="369">
        <v>42677</v>
      </c>
      <c r="C90" s="370">
        <v>80</v>
      </c>
      <c r="D90" s="371">
        <v>85.38</v>
      </c>
      <c r="E90" s="371">
        <v>81.569999999999993</v>
      </c>
      <c r="F90" s="371">
        <f t="shared" si="3"/>
        <v>-304.80000000000018</v>
      </c>
      <c r="G90" s="371">
        <f t="shared" si="4"/>
        <v>6830.4</v>
      </c>
      <c r="H90" s="372">
        <f t="shared" si="5"/>
        <v>-4.4624033731553089E-2</v>
      </c>
      <c r="I90" s="371" t="s">
        <v>185</v>
      </c>
      <c r="J90" s="371"/>
      <c r="K90" s="371"/>
      <c r="L90" s="370"/>
    </row>
    <row r="91" spans="1:12" x14ac:dyDescent="0.25">
      <c r="A91" s="370"/>
      <c r="B91" s="369">
        <v>42702</v>
      </c>
      <c r="C91" s="370">
        <v>80</v>
      </c>
      <c r="D91" s="371">
        <v>85.38</v>
      </c>
      <c r="E91" s="371">
        <v>74.06</v>
      </c>
      <c r="F91" s="371">
        <f t="shared" si="3"/>
        <v>-905.59999999999945</v>
      </c>
      <c r="G91" s="371">
        <f t="shared" si="4"/>
        <v>6830.4</v>
      </c>
      <c r="H91" s="372">
        <f t="shared" si="5"/>
        <v>-0.13258374326540165</v>
      </c>
      <c r="I91" s="371"/>
      <c r="J91" s="371"/>
      <c r="K91" s="371"/>
      <c r="L91" s="370"/>
    </row>
    <row r="92" spans="1:12" x14ac:dyDescent="0.25">
      <c r="A92" s="370"/>
      <c r="B92" s="369">
        <v>42704</v>
      </c>
      <c r="C92" s="370">
        <v>80</v>
      </c>
      <c r="D92" s="371">
        <v>85.38</v>
      </c>
      <c r="E92" s="371">
        <v>76.89</v>
      </c>
      <c r="F92" s="371">
        <f t="shared" si="3"/>
        <v>-679.19999999999959</v>
      </c>
      <c r="G92" s="371">
        <f t="shared" si="4"/>
        <v>6830.4</v>
      </c>
      <c r="H92" s="372">
        <f t="shared" si="5"/>
        <v>-9.9437807449051244E-2</v>
      </c>
      <c r="I92" s="371"/>
      <c r="J92" s="371"/>
      <c r="K92" s="371"/>
      <c r="L92" s="370"/>
    </row>
    <row r="93" spans="1:12" x14ac:dyDescent="0.25">
      <c r="A93" s="370"/>
      <c r="B93" s="369">
        <v>42729</v>
      </c>
      <c r="C93" s="370">
        <v>80</v>
      </c>
      <c r="D93" s="371">
        <v>85.38</v>
      </c>
      <c r="E93" s="371">
        <v>79.14</v>
      </c>
      <c r="F93" s="371">
        <f t="shared" si="3"/>
        <v>-499.19999999999959</v>
      </c>
      <c r="G93" s="371">
        <f t="shared" si="4"/>
        <v>6830.4</v>
      </c>
      <c r="H93" s="372">
        <f t="shared" si="5"/>
        <v>-7.3085031623330937E-2</v>
      </c>
      <c r="I93" s="371"/>
      <c r="J93" s="371"/>
      <c r="K93" s="371"/>
      <c r="L93" s="370"/>
    </row>
    <row r="94" spans="1:12" x14ac:dyDescent="0.25">
      <c r="A94" s="370"/>
      <c r="B94" s="369">
        <v>42745</v>
      </c>
      <c r="C94" s="370">
        <v>80</v>
      </c>
      <c r="D94" s="371">
        <v>85.38</v>
      </c>
      <c r="E94" s="371">
        <v>82.67</v>
      </c>
      <c r="F94" s="371">
        <f t="shared" si="3"/>
        <v>-216.7999999999995</v>
      </c>
      <c r="G94" s="371">
        <f t="shared" si="4"/>
        <v>6830.4</v>
      </c>
      <c r="H94" s="372">
        <f t="shared" si="5"/>
        <v>-3.1740454438978612E-2</v>
      </c>
      <c r="I94" s="371"/>
      <c r="J94" s="371"/>
      <c r="K94" s="371"/>
      <c r="L94" s="370"/>
    </row>
    <row r="95" spans="1:12" x14ac:dyDescent="0.25">
      <c r="A95" s="370"/>
      <c r="B95" s="369">
        <v>42756</v>
      </c>
      <c r="C95" s="370">
        <v>80</v>
      </c>
      <c r="D95" s="371">
        <v>85.38</v>
      </c>
      <c r="E95" s="371">
        <v>81.56</v>
      </c>
      <c r="F95" s="371">
        <f t="shared" si="3"/>
        <v>-305.59999999999945</v>
      </c>
      <c r="G95" s="371">
        <f t="shared" si="4"/>
        <v>6830.4</v>
      </c>
      <c r="H95" s="372">
        <f t="shared" si="5"/>
        <v>-4.4741157179667292E-2</v>
      </c>
      <c r="I95" s="371"/>
      <c r="J95" s="371"/>
      <c r="K95" s="371"/>
      <c r="L95" s="370"/>
    </row>
    <row r="96" spans="1:12" x14ac:dyDescent="0.25">
      <c r="A96" s="370"/>
      <c r="B96" s="369">
        <v>42760</v>
      </c>
      <c r="C96" s="370">
        <v>100</v>
      </c>
      <c r="D96" s="371">
        <v>84.36</v>
      </c>
      <c r="E96" s="371">
        <v>79.489999999999995</v>
      </c>
      <c r="F96" s="371">
        <f t="shared" si="3"/>
        <v>-487.00000000000045</v>
      </c>
      <c r="G96" s="371">
        <f t="shared" si="4"/>
        <v>8436</v>
      </c>
      <c r="H96" s="372">
        <f t="shared" si="5"/>
        <v>-5.7728781412991995E-2</v>
      </c>
      <c r="I96" s="371"/>
      <c r="J96" s="371"/>
      <c r="K96" s="371"/>
      <c r="L96" s="370"/>
    </row>
    <row r="97" spans="1:12" x14ac:dyDescent="0.25">
      <c r="A97" s="370"/>
      <c r="B97" s="369">
        <v>42762</v>
      </c>
      <c r="C97" s="370">
        <v>180</v>
      </c>
      <c r="D97" s="371">
        <v>81.169280000000001</v>
      </c>
      <c r="E97" s="371">
        <v>77.75</v>
      </c>
      <c r="F97" s="371">
        <f t="shared" si="3"/>
        <v>-615.47040000000015</v>
      </c>
      <c r="G97" s="371">
        <f t="shared" si="4"/>
        <v>14610.4704</v>
      </c>
      <c r="H97" s="372">
        <f t="shared" si="5"/>
        <v>-4.2125296663959574E-2</v>
      </c>
      <c r="I97" s="371"/>
      <c r="J97" s="371"/>
      <c r="K97" s="371"/>
      <c r="L97" s="370"/>
    </row>
    <row r="98" spans="1:12" x14ac:dyDescent="0.25">
      <c r="A98" s="370" t="s">
        <v>379</v>
      </c>
      <c r="B98" s="369">
        <v>42762</v>
      </c>
      <c r="C98" s="370">
        <v>140</v>
      </c>
      <c r="D98" s="371">
        <v>82.137640000000005</v>
      </c>
      <c r="E98" s="371">
        <v>77.75</v>
      </c>
      <c r="F98" s="371">
        <f t="shared" si="3"/>
        <v>-614.26960000000065</v>
      </c>
      <c r="G98" s="371">
        <f t="shared" si="4"/>
        <v>11499.269600000001</v>
      </c>
      <c r="H98" s="372">
        <f t="shared" si="5"/>
        <v>-5.3418140574771865E-2</v>
      </c>
      <c r="I98" s="371"/>
      <c r="J98" s="371"/>
      <c r="K98" s="371"/>
      <c r="L98" s="370"/>
    </row>
    <row r="99" spans="1:12" x14ac:dyDescent="0.25">
      <c r="A99" s="370" t="s">
        <v>395</v>
      </c>
      <c r="B99" s="369">
        <v>42768</v>
      </c>
      <c r="C99" s="370">
        <v>180</v>
      </c>
      <c r="D99" s="371">
        <v>80.347059999999999</v>
      </c>
      <c r="E99" s="371">
        <v>74.8</v>
      </c>
      <c r="F99" s="371">
        <f t="shared" si="3"/>
        <v>-998.47080000000028</v>
      </c>
      <c r="G99" s="371">
        <f t="shared" si="4"/>
        <v>14462.470799999999</v>
      </c>
      <c r="H99" s="372">
        <f t="shared" si="5"/>
        <v>-6.903874267459198E-2</v>
      </c>
      <c r="I99" s="371" t="s">
        <v>185</v>
      </c>
      <c r="J99" s="371"/>
      <c r="K99" s="371"/>
      <c r="L99" s="370"/>
    </row>
    <row r="100" spans="1:12" x14ac:dyDescent="0.25">
      <c r="A100" s="370" t="s">
        <v>395</v>
      </c>
      <c r="B100" s="369">
        <v>42778</v>
      </c>
      <c r="C100" s="370">
        <v>180</v>
      </c>
      <c r="D100" s="371">
        <v>80.347059999999999</v>
      </c>
      <c r="E100" s="371">
        <v>78.53</v>
      </c>
      <c r="F100" s="371">
        <f t="shared" si="3"/>
        <v>-327.07079999999962</v>
      </c>
      <c r="G100" s="371">
        <f t="shared" si="4"/>
        <v>14462.470799999999</v>
      </c>
      <c r="H100" s="372">
        <f t="shared" si="5"/>
        <v>-2.2615139869461284E-2</v>
      </c>
      <c r="I100" s="371"/>
      <c r="J100" s="371"/>
      <c r="K100" s="371"/>
      <c r="L100" s="370"/>
    </row>
    <row r="101" spans="1:12" x14ac:dyDescent="0.25">
      <c r="A101" s="370" t="s">
        <v>450</v>
      </c>
      <c r="B101" s="369">
        <v>42787</v>
      </c>
      <c r="C101" s="370">
        <v>180</v>
      </c>
      <c r="D101" s="371">
        <v>80.346999999999994</v>
      </c>
      <c r="E101" s="371">
        <v>79.760000000000005</v>
      </c>
      <c r="F101" s="371">
        <f t="shared" si="3"/>
        <v>-105.65999999999804</v>
      </c>
      <c r="G101" s="371">
        <f t="shared" si="4"/>
        <v>14462.46</v>
      </c>
      <c r="H101" s="372">
        <f t="shared" si="5"/>
        <v>-7.3058110445939376E-3</v>
      </c>
      <c r="I101" s="371"/>
      <c r="J101" s="371"/>
      <c r="K101" s="371"/>
      <c r="L101" s="370"/>
    </row>
    <row r="102" spans="1:12" x14ac:dyDescent="0.25">
      <c r="A102" s="370" t="s">
        <v>452</v>
      </c>
      <c r="B102" s="369">
        <v>42788</v>
      </c>
      <c r="C102" s="370">
        <v>140</v>
      </c>
      <c r="D102" s="371">
        <v>80.338139999999996</v>
      </c>
      <c r="E102" s="371">
        <v>80.16</v>
      </c>
      <c r="F102" s="371">
        <f t="shared" si="3"/>
        <v>-24.939599999999871</v>
      </c>
      <c r="G102" s="371">
        <f t="shared" si="4"/>
        <v>11247.339599999999</v>
      </c>
      <c r="H102" s="372">
        <f t="shared" si="5"/>
        <v>-2.2173776988115368E-3</v>
      </c>
      <c r="I102" s="371"/>
      <c r="J102" s="371"/>
      <c r="K102" s="371"/>
      <c r="L102" s="370"/>
    </row>
    <row r="103" spans="1:12" x14ac:dyDescent="0.25">
      <c r="A103" s="370" t="s">
        <v>452</v>
      </c>
      <c r="B103" s="369">
        <v>42790</v>
      </c>
      <c r="C103" s="370">
        <v>140</v>
      </c>
      <c r="D103" s="371">
        <v>80.338139999999996</v>
      </c>
      <c r="E103" s="371">
        <v>81.48</v>
      </c>
      <c r="F103" s="371">
        <f t="shared" si="3"/>
        <v>159.86040000000116</v>
      </c>
      <c r="G103" s="371">
        <f t="shared" si="4"/>
        <v>11247.339599999999</v>
      </c>
      <c r="H103" s="372">
        <f t="shared" si="5"/>
        <v>1.4213174464830881E-2</v>
      </c>
      <c r="I103" s="371"/>
      <c r="J103" s="371"/>
      <c r="K103" s="371"/>
      <c r="L103" s="370"/>
    </row>
    <row r="104" spans="1:12" x14ac:dyDescent="0.25">
      <c r="A104" s="370" t="s">
        <v>482</v>
      </c>
      <c r="B104" s="369">
        <v>42796</v>
      </c>
      <c r="C104" s="370">
        <v>60</v>
      </c>
      <c r="D104" s="371">
        <v>79.191299999999998</v>
      </c>
      <c r="E104" s="371">
        <v>81.349999999999994</v>
      </c>
      <c r="F104" s="371">
        <f t="shared" si="3"/>
        <v>129.52199999999976</v>
      </c>
      <c r="G104" s="371">
        <f t="shared" si="4"/>
        <v>4751.4780000000001</v>
      </c>
      <c r="H104" s="372">
        <f t="shared" si="5"/>
        <v>2.7259307524942718E-2</v>
      </c>
      <c r="I104" s="371"/>
      <c r="J104" s="371"/>
      <c r="K104" s="371"/>
      <c r="L104" s="370"/>
    </row>
    <row r="105" spans="1:12" x14ac:dyDescent="0.25">
      <c r="A105" s="370">
        <v>60</v>
      </c>
      <c r="B105" s="369">
        <v>42809</v>
      </c>
      <c r="C105" s="370">
        <v>60</v>
      </c>
      <c r="D105" s="371">
        <v>79.191299999999998</v>
      </c>
      <c r="E105" s="371">
        <v>79.73</v>
      </c>
      <c r="F105" s="371">
        <f t="shared" si="3"/>
        <v>32.322000000000344</v>
      </c>
      <c r="G105" s="371">
        <f t="shared" si="4"/>
        <v>4751.4780000000001</v>
      </c>
      <c r="H105" s="372">
        <f t="shared" si="5"/>
        <v>6.8025149227251697E-3</v>
      </c>
      <c r="I105" s="371"/>
      <c r="J105" s="371"/>
      <c r="K105" s="371"/>
      <c r="L105" s="370"/>
    </row>
    <row r="106" spans="1:12" x14ac:dyDescent="0.25">
      <c r="A106" s="370">
        <v>60</v>
      </c>
      <c r="B106" s="369">
        <v>42818</v>
      </c>
      <c r="C106" s="370">
        <v>60</v>
      </c>
      <c r="D106" s="371">
        <v>79.191299999999998</v>
      </c>
      <c r="E106" s="371">
        <v>78.489999999999995</v>
      </c>
      <c r="F106" s="371">
        <f t="shared" si="3"/>
        <v>-42.078000000000202</v>
      </c>
      <c r="G106" s="371">
        <f t="shared" si="4"/>
        <v>4751.4780000000001</v>
      </c>
      <c r="H106" s="372">
        <f t="shared" si="5"/>
        <v>-8.8557707727995802E-3</v>
      </c>
      <c r="I106" s="371"/>
      <c r="J106" s="371"/>
      <c r="K106" s="371"/>
      <c r="L106" s="370"/>
    </row>
    <row r="107" spans="1:12" x14ac:dyDescent="0.25">
      <c r="A107" s="370">
        <v>60</v>
      </c>
      <c r="B107" s="369">
        <v>42841</v>
      </c>
      <c r="C107" s="370">
        <v>60</v>
      </c>
      <c r="D107" s="371">
        <v>79.19</v>
      </c>
      <c r="E107" s="371">
        <v>77.959999999999994</v>
      </c>
      <c r="F107" s="371">
        <f t="shared" si="3"/>
        <v>-73.800000000000239</v>
      </c>
      <c r="G107" s="371">
        <f t="shared" si="4"/>
        <v>4751.3999999999996</v>
      </c>
      <c r="H107" s="372">
        <f t="shared" si="5"/>
        <v>-1.5532264174769592E-2</v>
      </c>
      <c r="I107" s="371"/>
      <c r="J107" s="371"/>
      <c r="K107" s="371"/>
      <c r="L107" s="370"/>
    </row>
    <row r="108" spans="1:12" x14ac:dyDescent="0.25">
      <c r="A108" s="370">
        <v>0</v>
      </c>
      <c r="B108" s="369">
        <v>42850</v>
      </c>
      <c r="C108" s="370">
        <v>0</v>
      </c>
      <c r="D108" s="371"/>
      <c r="E108" s="371">
        <v>82.17</v>
      </c>
      <c r="F108" s="371">
        <v>167.21</v>
      </c>
      <c r="G108" s="371"/>
      <c r="H108" s="372"/>
      <c r="I108" s="371"/>
      <c r="J108" s="371"/>
      <c r="K108" s="371"/>
      <c r="L108" s="370"/>
    </row>
    <row r="109" spans="1:12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</row>
    <row r="110" spans="1:12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</row>
    <row r="111" spans="1:12" x14ac:dyDescent="0.25">
      <c r="A111" s="370"/>
      <c r="B111" s="369"/>
      <c r="C111" s="370"/>
      <c r="D111" s="371"/>
      <c r="E111" s="371"/>
      <c r="F111" s="371"/>
      <c r="G111" s="371"/>
      <c r="H111" s="372"/>
      <c r="I111" s="371"/>
      <c r="J111" s="371"/>
      <c r="K111" s="371"/>
      <c r="L111" s="370"/>
    </row>
    <row r="112" spans="1:12" x14ac:dyDescent="0.25">
      <c r="A112" s="370"/>
      <c r="B112" s="369"/>
      <c r="C112" s="370"/>
      <c r="D112" s="371"/>
      <c r="E112" s="371"/>
      <c r="F112" s="371"/>
      <c r="G112" s="371"/>
      <c r="H112" s="372"/>
      <c r="I112" s="371"/>
      <c r="J112" s="371"/>
      <c r="K112" s="371"/>
      <c r="L112" s="370"/>
    </row>
    <row r="113" spans="1:12" x14ac:dyDescent="0.25">
      <c r="A113" s="370"/>
      <c r="B113" s="369"/>
      <c r="C113" s="370"/>
      <c r="D113" s="371"/>
      <c r="E113" s="371"/>
      <c r="F113" s="371"/>
      <c r="G113" s="371"/>
      <c r="H113" s="372"/>
      <c r="I113" s="371"/>
      <c r="J113" s="371"/>
      <c r="K113" s="371"/>
      <c r="L113" s="370"/>
    </row>
    <row r="114" spans="1:12" x14ac:dyDescent="0.25">
      <c r="A114" s="370"/>
      <c r="B114" s="369"/>
      <c r="C114" s="370"/>
      <c r="D114" s="371"/>
      <c r="E114" s="371"/>
      <c r="F114" s="371"/>
      <c r="G114" s="371"/>
      <c r="H114" s="372"/>
      <c r="I114" s="371"/>
      <c r="J114" s="371"/>
      <c r="K114" s="371"/>
      <c r="L114" s="370"/>
    </row>
    <row r="115" spans="1:12" x14ac:dyDescent="0.25">
      <c r="A115" s="370"/>
      <c r="B115" s="369"/>
      <c r="C115" s="370"/>
      <c r="D115" s="371"/>
      <c r="E115" s="371"/>
      <c r="F115" s="371"/>
      <c r="G115" s="371"/>
      <c r="H115" s="372"/>
      <c r="I115" s="371"/>
      <c r="J115" s="371"/>
      <c r="K115" s="371"/>
      <c r="L115" s="3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2171" priority="15">
      <formula>F57&gt;0</formula>
    </cfRule>
    <cfRule type="expression" dxfId="2170" priority="16">
      <formula>F57&lt;0</formula>
    </cfRule>
  </conditionalFormatting>
  <conditionalFormatting sqref="Q7">
    <cfRule type="expression" dxfId="2169" priority="13">
      <formula>Q7&gt;0</formula>
    </cfRule>
    <cfRule type="expression" dxfId="2168" priority="14">
      <formula>Q7&lt;0</formula>
    </cfRule>
  </conditionalFormatting>
  <conditionalFormatting sqref="Q8">
    <cfRule type="expression" dxfId="2167" priority="11">
      <formula>Q8&gt;0</formula>
    </cfRule>
    <cfRule type="expression" dxfId="2166" priority="12">
      <formula>Q8&lt;0</formula>
    </cfRule>
  </conditionalFormatting>
  <conditionalFormatting sqref="F25:F56">
    <cfRule type="expression" dxfId="2165" priority="9">
      <formula>F25&gt;0</formula>
    </cfRule>
    <cfRule type="expression" dxfId="2164" priority="10">
      <formula>F25&lt;0</formula>
    </cfRule>
  </conditionalFormatting>
  <conditionalFormatting sqref="H25:H56">
    <cfRule type="expression" dxfId="2163" priority="7">
      <formula>H25&gt;0</formula>
    </cfRule>
    <cfRule type="expression" dxfId="2162" priority="8">
      <formula>H25&lt;0</formula>
    </cfRule>
  </conditionalFormatting>
  <conditionalFormatting sqref="M58">
    <cfRule type="expression" dxfId="2161" priority="5">
      <formula>M58&gt;0</formula>
    </cfRule>
    <cfRule type="expression" dxfId="2160" priority="6">
      <formula>M58&lt;0</formula>
    </cfRule>
  </conditionalFormatting>
  <conditionalFormatting sqref="F84:F115">
    <cfRule type="expression" dxfId="2159" priority="3">
      <formula>F84&gt;0</formula>
    </cfRule>
    <cfRule type="expression" dxfId="2158" priority="4">
      <formula>F84&lt;0</formula>
    </cfRule>
  </conditionalFormatting>
  <conditionalFormatting sqref="H84:H115">
    <cfRule type="expression" dxfId="2157" priority="1">
      <formula>H84&gt;0</formula>
    </cfRule>
    <cfRule type="expression" dxfId="2156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209.13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209.13</v>
      </c>
      <c r="R4" s="508">
        <v>1.5E-3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230.04300000000001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227.95170000000002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225.8604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223.76910000000001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221.67780000000002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219.5865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217.49520000000001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215.40389999999999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213.3126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211.22129999999999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209.13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207.03870000000001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204.94739999999999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202.8561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200.76479999999998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198.67349999999999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196.58219999999997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194.49090000000001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192.39959999999999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190.3083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188.21700000000001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30</v>
      </c>
      <c r="D84" s="531"/>
      <c r="E84" s="531"/>
      <c r="F84" s="531">
        <f>SUM(F68:F72)</f>
        <v>4475.0999999999995</v>
      </c>
      <c r="G84" s="530"/>
      <c r="H84" s="552">
        <f>SUM(H68:H71)</f>
        <v>30</v>
      </c>
      <c r="I84" s="531"/>
      <c r="J84" s="531"/>
      <c r="K84" s="531">
        <f>SUM(K68:K71)</f>
        <v>5318.28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5" priority="21">
      <formula>F47&gt;0</formula>
    </cfRule>
    <cfRule type="expression" dxfId="2154" priority="22">
      <formula>F47&lt;0</formula>
    </cfRule>
  </conditionalFormatting>
  <conditionalFormatting sqref="Q7">
    <cfRule type="expression" dxfId="2153" priority="19">
      <formula>Q7&gt;0</formula>
    </cfRule>
    <cfRule type="expression" dxfId="2152" priority="20">
      <formula>Q7&lt;0</formula>
    </cfRule>
  </conditionalFormatting>
  <conditionalFormatting sqref="Q8">
    <cfRule type="expression" dxfId="2151" priority="17">
      <formula>Q8&gt;0</formula>
    </cfRule>
    <cfRule type="expression" dxfId="2150" priority="18">
      <formula>Q8&lt;0</formula>
    </cfRule>
  </conditionalFormatting>
  <conditionalFormatting sqref="F25:F46">
    <cfRule type="expression" dxfId="2149" priority="15">
      <formula>F25&gt;0</formula>
    </cfRule>
    <cfRule type="expression" dxfId="2148" priority="16">
      <formula>F25&lt;0</formula>
    </cfRule>
  </conditionalFormatting>
  <conditionalFormatting sqref="H25:H46">
    <cfRule type="expression" dxfId="2147" priority="13">
      <formula>H25&gt;0</formula>
    </cfRule>
    <cfRule type="expression" dxfId="2146" priority="14">
      <formula>H25&lt;0</formula>
    </cfRule>
  </conditionalFormatting>
  <conditionalFormatting sqref="F89:F110">
    <cfRule type="expression" dxfId="2145" priority="11">
      <formula>F89&gt;0</formula>
    </cfRule>
    <cfRule type="expression" dxfId="2144" priority="12">
      <formula>F89&lt;0</formula>
    </cfRule>
  </conditionalFormatting>
  <conditionalFormatting sqref="H89:H110">
    <cfRule type="expression" dxfId="2143" priority="9">
      <formula>H89&gt;0</formula>
    </cfRule>
    <cfRule type="expression" dxfId="2142" priority="10">
      <formula>H89&lt;0</formula>
    </cfRule>
  </conditionalFormatting>
  <conditionalFormatting sqref="Q10">
    <cfRule type="expression" dxfId="2141" priority="7">
      <formula>Q10&gt;0</formula>
    </cfRule>
    <cfRule type="expression" dxfId="2140" priority="8">
      <formula>Q10&lt;0</formula>
    </cfRule>
  </conditionalFormatting>
  <conditionalFormatting sqref="J25:J38">
    <cfRule type="expression" dxfId="2139" priority="5">
      <formula>J25&gt;0</formula>
    </cfRule>
    <cfRule type="expression" dxfId="2138" priority="6">
      <formula>J25&lt;0</formula>
    </cfRule>
  </conditionalFormatting>
  <conditionalFormatting sqref="K25:K38">
    <cfRule type="expression" dxfId="2137" priority="3">
      <formula>K25&gt;0</formula>
    </cfRule>
    <cfRule type="expression" dxfId="2136" priority="4">
      <formula>K25&lt;0</formula>
    </cfRule>
  </conditionalFormatting>
  <conditionalFormatting sqref="L25:L38">
    <cfRule type="expression" dxfId="2135" priority="1">
      <formula>L25&gt;0</formula>
    </cfRule>
    <cfRule type="expression" dxfId="2134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703"/>
  <sheetViews>
    <sheetView zoomScale="98" zoomScaleNormal="98" workbookViewId="0">
      <pane ySplit="1" topLeftCell="A2" activePane="bottomLeft" state="frozen"/>
      <selection pane="bottomLeft" activeCell="I63" sqref="I6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3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7">
        <v>42761</v>
      </c>
      <c r="C2" s="7">
        <v>500</v>
      </c>
      <c r="D2" s="77">
        <v>17.79</v>
      </c>
      <c r="E2" s="43">
        <v>0</v>
      </c>
      <c r="F2" s="43">
        <f t="shared" ref="F2:F67" si="0">C2*D2+E2</f>
        <v>8895</v>
      </c>
      <c r="G2" s="487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C71-H71</f>
        <v>6400</v>
      </c>
      <c r="Y2" s="62">
        <v>42804</v>
      </c>
      <c r="Z2" s="812" t="s">
        <v>715</v>
      </c>
      <c r="AA2" s="812"/>
      <c r="AB2" s="812"/>
    </row>
    <row r="3" spans="1:32" x14ac:dyDescent="0.25">
      <c r="A3" s="22" t="s">
        <v>71</v>
      </c>
      <c r="B3" s="487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7">
        <v>42803</v>
      </c>
      <c r="H3" s="80">
        <v>200</v>
      </c>
      <c r="I3" s="77">
        <v>15.6</v>
      </c>
      <c r="J3" s="43">
        <v>7.0000000000000007E-2</v>
      </c>
      <c r="K3" s="43">
        <f t="shared" ref="K3:K47" si="1">H3*I3-J3</f>
        <v>3119.93</v>
      </c>
      <c r="L3" s="72">
        <v>42846</v>
      </c>
      <c r="M3" s="43">
        <v>3.25</v>
      </c>
      <c r="O3" s="11" t="s">
        <v>58</v>
      </c>
      <c r="Q3" s="493">
        <f>IF(Q2=0, Q4, (F71-K71-M71)/Q2)</f>
        <v>15.581910937499988</v>
      </c>
      <c r="Y3" s="62">
        <v>42866</v>
      </c>
      <c r="Z3" s="812" t="s">
        <v>716</v>
      </c>
      <c r="AA3" s="812"/>
      <c r="AB3" s="812"/>
      <c r="AC3" s="229"/>
      <c r="AF3" s="229"/>
    </row>
    <row r="4" spans="1:32" ht="15" customHeight="1" x14ac:dyDescent="0.25">
      <c r="B4" s="487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7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14.52</v>
      </c>
      <c r="R4" s="486">
        <v>-3.2000000000000001E-2</v>
      </c>
      <c r="Y4" s="62">
        <v>43088</v>
      </c>
      <c r="Z4" s="753" t="s">
        <v>825</v>
      </c>
      <c r="AC4" s="229"/>
      <c r="AF4" s="229"/>
    </row>
    <row r="5" spans="1:32" x14ac:dyDescent="0.25">
      <c r="B5" s="487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7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775</v>
      </c>
      <c r="O5" s="11" t="s">
        <v>67</v>
      </c>
      <c r="Q5" s="3">
        <f>Q4*Q2</f>
        <v>92928</v>
      </c>
      <c r="Y5" s="62">
        <v>43096</v>
      </c>
      <c r="Z5" s="753" t="s">
        <v>830</v>
      </c>
    </row>
    <row r="6" spans="1:32" x14ac:dyDescent="0.25">
      <c r="B6" s="487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7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99724.229999999923</v>
      </c>
      <c r="Y6" s="62">
        <v>43103</v>
      </c>
      <c r="Z6" s="753" t="s">
        <v>881</v>
      </c>
    </row>
    <row r="7" spans="1:32" x14ac:dyDescent="0.25">
      <c r="B7" s="487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7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7819.3410000017029</v>
      </c>
      <c r="R7">
        <v>1100</v>
      </c>
      <c r="U7" s="179"/>
      <c r="Y7" s="62"/>
      <c r="Z7" s="753" t="s">
        <v>882</v>
      </c>
    </row>
    <row r="8" spans="1:32" x14ac:dyDescent="0.25">
      <c r="A8" s="621"/>
      <c r="B8" s="487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7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K71+M71-F71+Q2*Q4</f>
        <v>-6796.2299999999232</v>
      </c>
      <c r="Y8" s="62"/>
    </row>
    <row r="9" spans="1:32" x14ac:dyDescent="0.25">
      <c r="A9" s="621"/>
      <c r="B9" s="487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7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-6.8150237911086695E-2</v>
      </c>
      <c r="Y9" s="62">
        <v>43106</v>
      </c>
      <c r="Z9" s="764" t="s">
        <v>904</v>
      </c>
    </row>
    <row r="10" spans="1:32" ht="15" customHeight="1" x14ac:dyDescent="0.25">
      <c r="A10" s="621"/>
      <c r="B10" s="487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7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M438</f>
        <v>14615.571000001626</v>
      </c>
      <c r="Y10" s="62"/>
    </row>
    <row r="11" spans="1:32" x14ac:dyDescent="0.25">
      <c r="A11" s="621"/>
      <c r="B11" s="487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7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1.3774104683195593E-2</v>
      </c>
      <c r="R11">
        <f>0.05</f>
        <v>0.05</v>
      </c>
      <c r="Y11" s="62">
        <v>43117</v>
      </c>
      <c r="Z11" s="753" t="s">
        <v>943</v>
      </c>
    </row>
    <row r="12" spans="1:32" x14ac:dyDescent="0.25">
      <c r="A12" s="621"/>
      <c r="B12" s="487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7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1"/>
      <c r="B13" s="487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7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3" t="s">
        <v>949</v>
      </c>
    </row>
    <row r="14" spans="1:32" x14ac:dyDescent="0.25">
      <c r="A14" s="621"/>
      <c r="B14" s="487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7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3" t="s">
        <v>113</v>
      </c>
      <c r="P14" s="693" t="s">
        <v>728</v>
      </c>
      <c r="Q14" s="693" t="s">
        <v>729</v>
      </c>
      <c r="R14" s="691" t="s">
        <v>722</v>
      </c>
      <c r="S14" s="691" t="s">
        <v>723</v>
      </c>
      <c r="T14" s="693" t="s">
        <v>725</v>
      </c>
      <c r="U14" s="693" t="s">
        <v>726</v>
      </c>
      <c r="V14" s="691" t="s">
        <v>724</v>
      </c>
      <c r="W14" s="692" t="s">
        <v>727</v>
      </c>
      <c r="Y14" s="62"/>
      <c r="Z14" s="753" t="s">
        <v>952</v>
      </c>
    </row>
    <row r="15" spans="1:32" x14ac:dyDescent="0.25">
      <c r="B15" s="487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7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4">
        <v>42949</v>
      </c>
      <c r="P15" s="690" t="s">
        <v>730</v>
      </c>
      <c r="Q15" s="690"/>
      <c r="R15" s="689">
        <v>-0.15</v>
      </c>
      <c r="S15" s="689">
        <v>-0.24</v>
      </c>
      <c r="T15" s="690">
        <v>1.02</v>
      </c>
      <c r="U15" s="690">
        <v>1.04</v>
      </c>
      <c r="V15" s="687"/>
      <c r="W15" s="688"/>
      <c r="Y15" s="62"/>
    </row>
    <row r="16" spans="1:32" x14ac:dyDescent="0.25">
      <c r="B16" s="487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7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3">
        <v>43040</v>
      </c>
      <c r="P16" s="690" t="s">
        <v>731</v>
      </c>
      <c r="Q16" s="690" t="s">
        <v>721</v>
      </c>
      <c r="R16" s="689">
        <v>-0.14599999999999999</v>
      </c>
      <c r="S16" s="687">
        <v>-0.08</v>
      </c>
      <c r="T16" s="690">
        <v>1.05</v>
      </c>
      <c r="U16" s="690">
        <v>1.25</v>
      </c>
      <c r="V16" s="687"/>
      <c r="W16" s="688"/>
      <c r="Y16" s="62">
        <v>43131</v>
      </c>
      <c r="Z16" s="753" t="s">
        <v>951</v>
      </c>
    </row>
    <row r="17" spans="2:26" x14ac:dyDescent="0.25">
      <c r="B17" s="487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7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5"/>
      <c r="P17" s="690"/>
      <c r="Q17" s="690"/>
      <c r="R17" s="687"/>
      <c r="S17" s="687"/>
      <c r="T17" s="690"/>
      <c r="U17" s="690"/>
      <c r="V17" s="687"/>
      <c r="W17" s="688"/>
      <c r="Y17" s="785">
        <v>43136</v>
      </c>
      <c r="Z17" s="753" t="s">
        <v>950</v>
      </c>
    </row>
    <row r="18" spans="2:26" x14ac:dyDescent="0.25">
      <c r="B18" s="487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7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2:26" x14ac:dyDescent="0.25">
      <c r="B19" s="487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7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5"/>
      <c r="P19" s="690"/>
      <c r="Q19" s="690"/>
      <c r="R19" s="687"/>
      <c r="S19" s="687"/>
      <c r="T19" s="690"/>
      <c r="U19" s="690"/>
      <c r="V19" s="687"/>
      <c r="W19" s="688"/>
      <c r="Y19" s="62">
        <v>43139</v>
      </c>
      <c r="Z19" s="753" t="s">
        <v>979</v>
      </c>
    </row>
    <row r="20" spans="2:26" x14ac:dyDescent="0.25">
      <c r="B20" s="487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7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5"/>
      <c r="P20" s="690"/>
      <c r="Q20" s="690"/>
      <c r="R20" s="687"/>
      <c r="S20" s="687"/>
      <c r="T20" s="690"/>
      <c r="U20" s="690"/>
      <c r="V20" s="687"/>
      <c r="W20" s="688"/>
      <c r="Y20" s="62"/>
    </row>
    <row r="21" spans="2:26" x14ac:dyDescent="0.25">
      <c r="B21" s="487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7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5"/>
      <c r="P21" s="690"/>
      <c r="Q21" s="690"/>
      <c r="R21" s="687"/>
      <c r="S21" s="687"/>
      <c r="T21" s="690"/>
      <c r="U21" s="690"/>
      <c r="V21" s="687"/>
      <c r="W21" s="688"/>
    </row>
    <row r="22" spans="2:26" x14ac:dyDescent="0.25">
      <c r="B22" s="487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7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5"/>
      <c r="P22" s="690"/>
      <c r="Q22" s="690"/>
      <c r="R22" s="687"/>
      <c r="S22" s="687"/>
      <c r="T22" s="690"/>
      <c r="U22" s="690"/>
      <c r="V22" s="687"/>
      <c r="W22" s="688"/>
      <c r="Y22" s="785">
        <v>43145</v>
      </c>
      <c r="Z22" s="753" t="s">
        <v>82</v>
      </c>
    </row>
    <row r="23" spans="2:26" x14ac:dyDescent="0.25">
      <c r="B23" s="487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7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2:26" x14ac:dyDescent="0.25">
      <c r="B24" s="487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7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2:26" x14ac:dyDescent="0.25">
      <c r="B25" s="487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7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5"/>
      <c r="P25" s="690"/>
      <c r="Q25" s="690"/>
      <c r="R25" s="687"/>
      <c r="S25" s="687"/>
      <c r="T25" s="690"/>
      <c r="U25" s="690"/>
      <c r="V25" s="687"/>
      <c r="W25" s="688"/>
    </row>
    <row r="26" spans="2:26" ht="15" customHeight="1" x14ac:dyDescent="0.25">
      <c r="B26" s="487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7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7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7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7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7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7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7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7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7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7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7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7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7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7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7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7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7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7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7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7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7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7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7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7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7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7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7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7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7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7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7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1" t="s">
        <v>78</v>
      </c>
      <c r="P41" s="811"/>
    </row>
    <row r="42" spans="1:16" ht="15.75" thickTop="1" x14ac:dyDescent="0.25">
      <c r="B42" s="487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7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17.714399999999998</v>
      </c>
    </row>
    <row r="43" spans="1:16" x14ac:dyDescent="0.25">
      <c r="A43" s="2"/>
      <c r="B43" s="487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7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17.569199999999999</v>
      </c>
    </row>
    <row r="44" spans="1:16" x14ac:dyDescent="0.25">
      <c r="B44" s="487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87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1.2</v>
      </c>
      <c r="P44" s="81">
        <f>O44*$Q$4</f>
        <v>17.423999999999999</v>
      </c>
    </row>
    <row r="45" spans="1:16" x14ac:dyDescent="0.25">
      <c r="B45" s="487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87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1.19</v>
      </c>
      <c r="P45" s="81">
        <f>O45*$Q$4</f>
        <v>17.2788</v>
      </c>
    </row>
    <row r="46" spans="1:16" x14ac:dyDescent="0.25">
      <c r="B46" s="487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87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1.18</v>
      </c>
      <c r="P46" s="81">
        <f>O46*$Q$4</f>
        <v>17.133599999999998</v>
      </c>
    </row>
    <row r="47" spans="1:16" x14ac:dyDescent="0.25">
      <c r="B47" s="487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87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1.17</v>
      </c>
      <c r="P47" s="81">
        <f t="shared" ref="P47:P53" si="2">O47*$Q$4</f>
        <v>16.988399999999999</v>
      </c>
    </row>
    <row r="48" spans="1:16" x14ac:dyDescent="0.25">
      <c r="B48" s="487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16.8432</v>
      </c>
    </row>
    <row r="49" spans="2:16" x14ac:dyDescent="0.25">
      <c r="B49" s="488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16.697999999999997</v>
      </c>
    </row>
    <row r="50" spans="2:16" x14ac:dyDescent="0.25">
      <c r="B50" s="488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L50" s="29"/>
      <c r="O50" s="81">
        <v>1.1399999999999999</v>
      </c>
      <c r="P50" s="81">
        <f t="shared" si="2"/>
        <v>16.552799999999998</v>
      </c>
    </row>
    <row r="51" spans="2:16" x14ac:dyDescent="0.25">
      <c r="B51" s="488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16.407599999999999</v>
      </c>
    </row>
    <row r="52" spans="2:16" x14ac:dyDescent="0.25">
      <c r="B52" s="488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16.2624</v>
      </c>
    </row>
    <row r="53" spans="2:16" ht="15" customHeight="1" x14ac:dyDescent="0.25">
      <c r="B53" s="488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16.1172</v>
      </c>
    </row>
    <row r="54" spans="2:16" x14ac:dyDescent="0.25">
      <c r="B54" s="488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8"/>
      <c r="O54" s="81">
        <v>1.1000000000000001</v>
      </c>
      <c r="P54" s="81">
        <f>O54*$Q$4</f>
        <v>15.972000000000001</v>
      </c>
    </row>
    <row r="55" spans="2:16" x14ac:dyDescent="0.25">
      <c r="B55" s="488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15.8268</v>
      </c>
    </row>
    <row r="56" spans="2:16" x14ac:dyDescent="0.25">
      <c r="B56" s="751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15.681600000000001</v>
      </c>
    </row>
    <row r="57" spans="2:16" x14ac:dyDescent="0.25">
      <c r="B57" s="751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15.5364</v>
      </c>
    </row>
    <row r="58" spans="2:16" x14ac:dyDescent="0.25">
      <c r="B58" s="751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15.3912</v>
      </c>
    </row>
    <row r="59" spans="2:16" x14ac:dyDescent="0.25">
      <c r="B59" s="751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O59" s="81">
        <v>1.05</v>
      </c>
      <c r="P59" s="81">
        <f t="shared" si="3"/>
        <v>15.246</v>
      </c>
    </row>
    <row r="60" spans="2:16" x14ac:dyDescent="0.25">
      <c r="B60" s="751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15.1008</v>
      </c>
    </row>
    <row r="61" spans="2:16" x14ac:dyDescent="0.25">
      <c r="B61" s="751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14.9556</v>
      </c>
    </row>
    <row r="62" spans="2:16" x14ac:dyDescent="0.25">
      <c r="B62" s="751">
        <v>43146</v>
      </c>
      <c r="C62" s="7">
        <v>500</v>
      </c>
      <c r="D62" s="77">
        <v>15.82</v>
      </c>
      <c r="E62" s="43">
        <v>0</v>
      </c>
      <c r="F62" s="43">
        <f t="shared" si="0"/>
        <v>7910</v>
      </c>
      <c r="O62" s="81">
        <v>1.02</v>
      </c>
      <c r="P62" s="81">
        <f t="shared" si="3"/>
        <v>14.8104</v>
      </c>
    </row>
    <row r="63" spans="2:16" x14ac:dyDescent="0.25">
      <c r="B63" s="751">
        <v>43146</v>
      </c>
      <c r="C63" s="7">
        <v>500</v>
      </c>
      <c r="D63" s="77">
        <v>15.52</v>
      </c>
      <c r="E63" s="43">
        <v>0</v>
      </c>
      <c r="F63" s="43">
        <f t="shared" si="0"/>
        <v>7760</v>
      </c>
      <c r="O63" s="81">
        <v>1.01</v>
      </c>
      <c r="P63" s="81">
        <f t="shared" si="3"/>
        <v>14.6652</v>
      </c>
    </row>
    <row r="64" spans="2:16" x14ac:dyDescent="0.25">
      <c r="B64" s="751">
        <v>43147</v>
      </c>
      <c r="C64" s="7">
        <v>500</v>
      </c>
      <c r="D64" s="77">
        <v>15.75</v>
      </c>
      <c r="E64" s="43">
        <v>0</v>
      </c>
      <c r="F64" s="43">
        <f t="shared" si="0"/>
        <v>7875</v>
      </c>
      <c r="O64" s="81">
        <v>1</v>
      </c>
      <c r="P64" s="81">
        <f t="shared" si="3"/>
        <v>14.52</v>
      </c>
    </row>
    <row r="65" spans="1:16" x14ac:dyDescent="0.25">
      <c r="B65" s="751">
        <v>43151</v>
      </c>
      <c r="C65" s="4">
        <v>500</v>
      </c>
      <c r="D65" s="235">
        <v>15.82</v>
      </c>
      <c r="E65" s="3">
        <v>0</v>
      </c>
      <c r="F65" s="3">
        <f t="shared" si="0"/>
        <v>7910</v>
      </c>
      <c r="O65" s="81">
        <v>0.99</v>
      </c>
      <c r="P65" s="81">
        <f t="shared" si="3"/>
        <v>14.374799999999999</v>
      </c>
    </row>
    <row r="66" spans="1:16" x14ac:dyDescent="0.25">
      <c r="B66" s="751">
        <v>43152</v>
      </c>
      <c r="C66" s="4">
        <v>500</v>
      </c>
      <c r="D66" s="235">
        <v>15.44</v>
      </c>
      <c r="E66" s="3">
        <v>0</v>
      </c>
      <c r="F66" s="3">
        <f t="shared" si="0"/>
        <v>7720</v>
      </c>
      <c r="O66" s="81">
        <v>0.98</v>
      </c>
      <c r="P66" s="81">
        <f t="shared" si="3"/>
        <v>14.2296</v>
      </c>
    </row>
    <row r="67" spans="1:16" x14ac:dyDescent="0.25">
      <c r="B67" s="751">
        <v>43159</v>
      </c>
      <c r="C67" s="4">
        <v>400</v>
      </c>
      <c r="D67" s="235">
        <v>14.75</v>
      </c>
      <c r="E67" s="3">
        <v>0</v>
      </c>
      <c r="F67" s="3">
        <f t="shared" si="0"/>
        <v>5900</v>
      </c>
      <c r="O67" s="81">
        <v>0.97</v>
      </c>
      <c r="P67" s="81">
        <f t="shared" si="3"/>
        <v>14.084399999999999</v>
      </c>
    </row>
    <row r="68" spans="1:16" x14ac:dyDescent="0.25">
      <c r="C68" s="4"/>
      <c r="D68" s="235"/>
      <c r="E68" s="3"/>
      <c r="F68" s="3"/>
      <c r="O68" s="81">
        <v>0.96</v>
      </c>
      <c r="P68" s="81">
        <f t="shared" si="3"/>
        <v>13.9392</v>
      </c>
    </row>
    <row r="69" spans="1:16" x14ac:dyDescent="0.25">
      <c r="C69" s="4"/>
      <c r="D69" s="235"/>
      <c r="E69" s="3"/>
      <c r="F69" s="3"/>
      <c r="O69" s="81">
        <v>0.95</v>
      </c>
      <c r="P69" s="81">
        <f t="shared" si="3"/>
        <v>13.793999999999999</v>
      </c>
    </row>
    <row r="70" spans="1:16" x14ac:dyDescent="0.25">
      <c r="G70" s="29"/>
      <c r="O70" s="81">
        <v>0.94</v>
      </c>
      <c r="P70" s="81">
        <f t="shared" si="3"/>
        <v>13.6488</v>
      </c>
    </row>
    <row r="71" spans="1:16" x14ac:dyDescent="0.25">
      <c r="A71" s="31" t="s">
        <v>81</v>
      </c>
      <c r="B71" s="489"/>
      <c r="C71" s="71">
        <f>SUM(C2:C70)</f>
        <v>20700</v>
      </c>
      <c r="D71" s="18"/>
      <c r="E71" s="18"/>
      <c r="F71" s="18">
        <f>SUM(F2:F70)</f>
        <v>317643.84999999998</v>
      </c>
      <c r="G71" s="14"/>
      <c r="H71" s="71">
        <f>SUM(H2:H70)</f>
        <v>14300</v>
      </c>
      <c r="I71" s="79"/>
      <c r="J71" s="18"/>
      <c r="K71" s="18">
        <f>SUM(K2:K70)</f>
        <v>216581.37000000005</v>
      </c>
      <c r="L71" s="14"/>
      <c r="M71" s="18">
        <f>SUM(M2:M70)</f>
        <v>1338.25</v>
      </c>
      <c r="O71" s="81">
        <v>0.93</v>
      </c>
      <c r="P71" s="81">
        <f t="shared" si="3"/>
        <v>13.5036</v>
      </c>
    </row>
    <row r="72" spans="1:16" ht="15.75" thickBot="1" x14ac:dyDescent="0.3">
      <c r="A72" s="347" t="s">
        <v>194</v>
      </c>
      <c r="B72" s="490"/>
      <c r="C72" s="349">
        <f>SumByColor($A$72, C2:C70)</f>
        <v>14300</v>
      </c>
      <c r="D72" s="349"/>
      <c r="E72" s="349"/>
      <c r="F72" s="350">
        <f>SumByColor($A$72, F2:F70)</f>
        <v>212324</v>
      </c>
      <c r="G72" s="349"/>
      <c r="H72" s="349">
        <f>SumByColor($A$72, H2:H70)</f>
        <v>14300</v>
      </c>
      <c r="I72" s="349"/>
      <c r="J72" s="350"/>
      <c r="K72" s="350">
        <f>SumByColor($A$72, K2:K70)</f>
        <v>216586</v>
      </c>
      <c r="L72" s="349"/>
      <c r="M72" s="350">
        <f>SumByColor($A$72, M2:M70)</f>
        <v>1338</v>
      </c>
      <c r="O72" s="81">
        <v>0.92</v>
      </c>
      <c r="P72" s="81">
        <f t="shared" si="3"/>
        <v>13.3584</v>
      </c>
    </row>
    <row r="73" spans="1:16" x14ac:dyDescent="0.25">
      <c r="O73" s="81">
        <v>0.91</v>
      </c>
      <c r="P73" s="81">
        <f t="shared" si="3"/>
        <v>13.213200000000001</v>
      </c>
    </row>
    <row r="74" spans="1:16" ht="15" customHeight="1" x14ac:dyDescent="0.25">
      <c r="O74" s="81">
        <v>0.9</v>
      </c>
      <c r="P74" s="81">
        <f t="shared" si="3"/>
        <v>13.068</v>
      </c>
    </row>
    <row r="75" spans="1:16" x14ac:dyDescent="0.25">
      <c r="B75" s="491" t="s">
        <v>113</v>
      </c>
      <c r="C75" s="186" t="s">
        <v>146</v>
      </c>
      <c r="D75" s="194" t="s">
        <v>145</v>
      </c>
      <c r="E75" s="189" t="s">
        <v>147</v>
      </c>
      <c r="F75" s="190" t="s">
        <v>65</v>
      </c>
      <c r="G75" s="224" t="s">
        <v>151</v>
      </c>
      <c r="H75" s="190" t="s">
        <v>88</v>
      </c>
      <c r="I75" s="224" t="s">
        <v>154</v>
      </c>
      <c r="J75" s="224" t="s">
        <v>513</v>
      </c>
      <c r="K75" s="224" t="s">
        <v>150</v>
      </c>
      <c r="L75" s="224" t="s">
        <v>978</v>
      </c>
      <c r="O75" s="81">
        <v>0.89</v>
      </c>
      <c r="P75" s="81">
        <f>O75*$Q$4</f>
        <v>12.922800000000001</v>
      </c>
    </row>
    <row r="76" spans="1:16" x14ac:dyDescent="0.25">
      <c r="A76" t="s">
        <v>442</v>
      </c>
      <c r="B76" s="153">
        <v>42787</v>
      </c>
      <c r="C76" s="10">
        <v>5700</v>
      </c>
      <c r="D76" s="237">
        <v>16.667088</v>
      </c>
      <c r="E76" s="39">
        <v>16.38</v>
      </c>
      <c r="F76" s="39">
        <f t="shared" ref="F76" si="4">C76*(E76-D76)</f>
        <v>-1636.4016000000038</v>
      </c>
      <c r="G76" s="39">
        <f t="shared" ref="G76" si="5">D76*C76</f>
        <v>95002.401599999997</v>
      </c>
      <c r="H76" s="226">
        <f t="shared" ref="H76" si="6">(E76-D76)/D76</f>
        <v>-1.7224844555929666E-2</v>
      </c>
      <c r="I76" s="39"/>
      <c r="J76" s="39"/>
      <c r="K76" s="39"/>
      <c r="L76" s="39"/>
      <c r="O76" s="81">
        <v>0.88</v>
      </c>
      <c r="P76" s="81">
        <f>O76*$Q$4</f>
        <v>12.7776</v>
      </c>
    </row>
    <row r="77" spans="1:16" x14ac:dyDescent="0.25">
      <c r="A77" t="s">
        <v>454</v>
      </c>
      <c r="B77" s="153">
        <v>42788</v>
      </c>
      <c r="C77" s="434">
        <v>6000</v>
      </c>
      <c r="D77" s="656">
        <v>16.620999999999999</v>
      </c>
      <c r="E77" s="39">
        <v>15.76</v>
      </c>
      <c r="F77" s="39">
        <f t="shared" ref="F77" si="7">C77*(E77-D77)</f>
        <v>-5165.9999999999936</v>
      </c>
      <c r="G77" s="39">
        <f t="shared" ref="G77" si="8">D77*C77</f>
        <v>99725.999999999985</v>
      </c>
      <c r="H77" s="226">
        <f t="shared" ref="H77" si="9">(E77-D77)/D77</f>
        <v>-5.1801937308224473E-2</v>
      </c>
      <c r="I77" s="39"/>
      <c r="J77" s="39"/>
      <c r="K77" s="39"/>
      <c r="L77" s="39"/>
      <c r="O77" s="81">
        <v>0.87</v>
      </c>
      <c r="P77" s="81">
        <f>O77*$Q$4</f>
        <v>12.632399999999999</v>
      </c>
    </row>
    <row r="78" spans="1:16" x14ac:dyDescent="0.25">
      <c r="A78">
        <v>600</v>
      </c>
      <c r="B78" s="153">
        <v>42795</v>
      </c>
      <c r="C78" s="10">
        <v>5500</v>
      </c>
      <c r="D78" s="237">
        <v>16.619900000000001</v>
      </c>
      <c r="E78" s="39">
        <v>16.45</v>
      </c>
      <c r="F78" s="39">
        <f t="shared" ref="F78" si="10">C78*(E78-D78)</f>
        <v>-934.45000000001062</v>
      </c>
      <c r="G78" s="39">
        <f t="shared" ref="G78" si="11">D78*C78</f>
        <v>91409.450000000012</v>
      </c>
      <c r="H78" s="226">
        <f t="shared" ref="H78" si="12">(E78-D78)/D78</f>
        <v>-1.0222684853699596E-2</v>
      </c>
      <c r="I78" s="39">
        <v>16.399999999999999</v>
      </c>
      <c r="J78" s="39"/>
      <c r="K78" s="39">
        <v>13681</v>
      </c>
      <c r="L78" s="39"/>
      <c r="O78" s="81">
        <v>0.86</v>
      </c>
      <c r="P78" s="81">
        <f>O78*$Q$4</f>
        <v>12.4872</v>
      </c>
    </row>
    <row r="79" spans="1:16" x14ac:dyDescent="0.25">
      <c r="A79">
        <v>1400</v>
      </c>
      <c r="B79" s="153">
        <v>42796</v>
      </c>
      <c r="C79" s="10">
        <v>6000</v>
      </c>
      <c r="D79" s="237">
        <v>16.589099999999998</v>
      </c>
      <c r="E79" s="39">
        <v>16.14</v>
      </c>
      <c r="F79" s="39">
        <f t="shared" ref="F79" si="13">C79*(E79-D79)</f>
        <v>-2694.5999999999872</v>
      </c>
      <c r="G79" s="39">
        <f t="shared" ref="G79" si="14">D79*C79</f>
        <v>99534.599999999991</v>
      </c>
      <c r="H79" s="226">
        <f t="shared" ref="H79" si="15">(E79-D79)/D79</f>
        <v>-2.7071993055681011E-2</v>
      </c>
      <c r="I79" s="39">
        <v>16.25</v>
      </c>
      <c r="J79" s="39"/>
      <c r="K79" s="39">
        <v>11921</v>
      </c>
      <c r="L79" s="39"/>
      <c r="O79" s="81">
        <v>0.85</v>
      </c>
      <c r="P79" s="81">
        <f>O79*$Q$4</f>
        <v>12.341999999999999</v>
      </c>
    </row>
    <row r="80" spans="1:16" x14ac:dyDescent="0.25">
      <c r="A80">
        <v>3600</v>
      </c>
      <c r="B80" s="153">
        <v>42798</v>
      </c>
      <c r="C80" s="10">
        <v>6000</v>
      </c>
      <c r="D80" s="237">
        <v>16.589099999999998</v>
      </c>
      <c r="E80" s="39">
        <v>16.14</v>
      </c>
      <c r="F80" s="39">
        <f t="shared" ref="F80" si="16">C80*(E80-D80)</f>
        <v>-2694.5999999999872</v>
      </c>
      <c r="G80" s="39">
        <f t="shared" ref="G80" si="17">D80*C80</f>
        <v>99534.599999999991</v>
      </c>
      <c r="H80" s="226">
        <f t="shared" ref="H80" si="18">(E80-D80)/D80</f>
        <v>-2.7071993055681011E-2</v>
      </c>
      <c r="I80" s="39">
        <v>16.25</v>
      </c>
      <c r="J80" s="39"/>
      <c r="K80" s="39">
        <v>12161</v>
      </c>
      <c r="L80" s="39"/>
    </row>
    <row r="81" spans="1:12" x14ac:dyDescent="0.25">
      <c r="A81">
        <v>3600</v>
      </c>
      <c r="B81" s="153">
        <v>42800</v>
      </c>
      <c r="C81" s="10">
        <v>6000</v>
      </c>
      <c r="D81" s="237">
        <v>16.589099999999998</v>
      </c>
      <c r="E81" s="39">
        <v>16.47</v>
      </c>
      <c r="F81" s="39">
        <f t="shared" ref="F81:F82" si="19">C81*(E81-D81)</f>
        <v>-714.59999999999718</v>
      </c>
      <c r="G81" s="39">
        <f t="shared" ref="G81:G82" si="20">D81*C81</f>
        <v>99534.599999999991</v>
      </c>
      <c r="H81" s="226">
        <f t="shared" ref="H81:H82" si="21">(E81-D81)/D81</f>
        <v>-7.1794129880463405E-3</v>
      </c>
      <c r="I81" s="39">
        <v>16.25</v>
      </c>
      <c r="J81" s="39"/>
      <c r="K81" s="39">
        <v>13901</v>
      </c>
      <c r="L81" s="39"/>
    </row>
    <row r="82" spans="1:12" x14ac:dyDescent="0.25">
      <c r="A82">
        <v>3600</v>
      </c>
      <c r="B82" s="153">
        <v>42802</v>
      </c>
      <c r="C82" s="10">
        <v>6700</v>
      </c>
      <c r="D82" s="237">
        <v>16.427</v>
      </c>
      <c r="E82" s="39">
        <v>14.87</v>
      </c>
      <c r="F82" s="39">
        <f t="shared" si="19"/>
        <v>-10431.900000000003</v>
      </c>
      <c r="G82" s="39">
        <f t="shared" si="20"/>
        <v>110060.9</v>
      </c>
      <c r="H82" s="227">
        <f t="shared" si="21"/>
        <v>-9.478297924149269E-2</v>
      </c>
      <c r="I82" s="39"/>
      <c r="J82" s="39"/>
      <c r="K82" s="39">
        <v>4183.99</v>
      </c>
      <c r="L82" s="39"/>
    </row>
    <row r="83" spans="1:12" x14ac:dyDescent="0.25">
      <c r="A83">
        <v>3600</v>
      </c>
      <c r="B83" s="153">
        <v>42803</v>
      </c>
      <c r="C83" s="10">
        <v>6000</v>
      </c>
      <c r="D83" s="237">
        <v>16.50263</v>
      </c>
      <c r="E83" s="39">
        <v>16.07</v>
      </c>
      <c r="F83" s="39">
        <f t="shared" ref="F83" si="22">C83*(E83-D83)</f>
        <v>-2595.7799999999979</v>
      </c>
      <c r="G83" s="39">
        <f t="shared" ref="G83" si="23">D83*C83</f>
        <v>99015.78</v>
      </c>
      <c r="H83" s="227">
        <f t="shared" ref="H83" si="24">(E83-D83)/D83</f>
        <v>-2.6215821356959445E-2</v>
      </c>
      <c r="I83" s="39">
        <v>16.25</v>
      </c>
      <c r="J83" s="39"/>
      <c r="K83" s="39">
        <v>12020</v>
      </c>
      <c r="L83" s="39"/>
    </row>
    <row r="84" spans="1:12" x14ac:dyDescent="0.25">
      <c r="A84">
        <v>4200</v>
      </c>
      <c r="B84" s="153">
        <v>42805</v>
      </c>
      <c r="C84" s="434">
        <v>6000</v>
      </c>
      <c r="D84" s="656">
        <v>16.447600000000001</v>
      </c>
      <c r="E84" s="39">
        <v>16.16</v>
      </c>
      <c r="F84" s="39">
        <f t="shared" ref="F84" si="25">C84*(E84-D84)</f>
        <v>-1725.6000000000072</v>
      </c>
      <c r="G84" s="39">
        <f t="shared" ref="G84" si="26">D84*C84</f>
        <v>98685.6</v>
      </c>
      <c r="H84" s="227">
        <f t="shared" ref="H84" si="27">(E84-D84)/D84</f>
        <v>-1.7485833799460174E-2</v>
      </c>
      <c r="I84" s="39" t="s">
        <v>185</v>
      </c>
      <c r="J84" s="39"/>
      <c r="K84" s="39">
        <v>12890</v>
      </c>
      <c r="L84" s="39"/>
    </row>
    <row r="85" spans="1:12" x14ac:dyDescent="0.25">
      <c r="A85">
        <v>4200</v>
      </c>
      <c r="B85" s="153">
        <v>42807</v>
      </c>
      <c r="C85" s="10">
        <v>6000</v>
      </c>
      <c r="D85" s="237">
        <v>16.447600000000001</v>
      </c>
      <c r="E85" s="39">
        <v>15.84</v>
      </c>
      <c r="F85" s="39">
        <f t="shared" ref="F85" si="28">C85*(E85-D85)</f>
        <v>-3645.600000000009</v>
      </c>
      <c r="G85" s="39">
        <f t="shared" ref="G85" si="29">D85*C85</f>
        <v>98685.6</v>
      </c>
      <c r="H85" s="227">
        <f t="shared" ref="H85" si="30">(E85-D85)/D85</f>
        <v>-3.6941559862837217E-2</v>
      </c>
      <c r="I85" s="39"/>
      <c r="J85" s="39"/>
      <c r="K85" s="39">
        <v>10970</v>
      </c>
      <c r="L85" s="39"/>
    </row>
    <row r="86" spans="1:12" x14ac:dyDescent="0.25">
      <c r="A86">
        <v>3700</v>
      </c>
      <c r="B86" s="153">
        <v>42808</v>
      </c>
      <c r="C86" s="434">
        <v>6000</v>
      </c>
      <c r="D86" s="656">
        <v>16.422999999999998</v>
      </c>
      <c r="E86" s="39">
        <v>15.32</v>
      </c>
      <c r="F86" s="39">
        <f t="shared" ref="F86" si="31">C86*(E86-D86)</f>
        <v>-6617.9999999999882</v>
      </c>
      <c r="G86" s="39">
        <f t="shared" ref="G86" si="32">D86*C86</f>
        <v>98537.999999999985</v>
      </c>
      <c r="H86" s="227">
        <f t="shared" ref="H86" si="33">(E86-D86)/D86</f>
        <v>-6.7161907081531885E-2</v>
      </c>
      <c r="I86" s="39">
        <v>16.25</v>
      </c>
      <c r="J86" s="39">
        <v>41.23</v>
      </c>
      <c r="K86" s="39">
        <v>8000</v>
      </c>
      <c r="L86" s="39"/>
    </row>
    <row r="87" spans="1:12" x14ac:dyDescent="0.25">
      <c r="A87">
        <v>3700</v>
      </c>
      <c r="B87" s="153">
        <v>42809</v>
      </c>
      <c r="C87" s="10">
        <v>6000</v>
      </c>
      <c r="D87" s="237">
        <v>16.422999999999998</v>
      </c>
      <c r="E87" s="39">
        <v>15.56</v>
      </c>
      <c r="F87" s="39">
        <f t="shared" ref="F87" si="34">C87*(E87-D87)</f>
        <v>-5177.9999999999864</v>
      </c>
      <c r="G87" s="39">
        <f t="shared" ref="G87" si="35">D87*C87</f>
        <v>98537.999999999985</v>
      </c>
      <c r="H87" s="227">
        <f t="shared" ref="H87" si="36">(E87-D87)/D87</f>
        <v>-5.254825549534177E-2</v>
      </c>
      <c r="I87" s="39">
        <v>16.25</v>
      </c>
      <c r="J87" s="39">
        <v>44</v>
      </c>
      <c r="K87" s="39">
        <v>9439</v>
      </c>
      <c r="L87" s="39"/>
    </row>
    <row r="88" spans="1:12" x14ac:dyDescent="0.25">
      <c r="A88">
        <v>4000</v>
      </c>
      <c r="B88" s="153">
        <v>42815</v>
      </c>
      <c r="C88" s="10">
        <v>6400</v>
      </c>
      <c r="D88" s="237">
        <v>16.349399999999999</v>
      </c>
      <c r="E88" s="39">
        <v>15.05</v>
      </c>
      <c r="F88" s="39">
        <f t="shared" ref="F88" si="37">C88*(E88-D88)</f>
        <v>-8316.1599999999908</v>
      </c>
      <c r="G88" s="39">
        <f t="shared" ref="G88" si="38">D88*C88</f>
        <v>104636.15999999999</v>
      </c>
      <c r="H88" s="227">
        <f t="shared" ref="H88" si="39">(E88-D88)/D88</f>
        <v>-7.9476922700527156E-2</v>
      </c>
      <c r="I88" s="39"/>
      <c r="J88" s="39"/>
      <c r="K88" s="39">
        <v>6300</v>
      </c>
      <c r="L88" s="39"/>
    </row>
    <row r="89" spans="1:12" x14ac:dyDescent="0.25">
      <c r="A89">
        <v>4300</v>
      </c>
      <c r="B89" s="153">
        <v>42819</v>
      </c>
      <c r="C89" s="10">
        <v>6400</v>
      </c>
      <c r="D89" s="237">
        <v>16.349399999999999</v>
      </c>
      <c r="E89" s="39">
        <v>14.61</v>
      </c>
      <c r="F89" s="39">
        <f t="shared" ref="F89" si="40">C89*(E89-D89)</f>
        <v>-11132.16</v>
      </c>
      <c r="G89" s="39">
        <f t="shared" ref="G89" si="41">D89*C89</f>
        <v>104636.15999999999</v>
      </c>
      <c r="H89" s="227">
        <f t="shared" ref="H89" si="42">(E89-D89)/D89</f>
        <v>-0.10638922529267128</v>
      </c>
      <c r="I89" s="39"/>
      <c r="J89" s="39"/>
      <c r="K89" s="39">
        <v>3484</v>
      </c>
      <c r="L89" s="39"/>
    </row>
    <row r="90" spans="1:12" x14ac:dyDescent="0.25">
      <c r="A90">
        <v>4300</v>
      </c>
      <c r="B90" s="153">
        <v>42821</v>
      </c>
      <c r="C90" s="10">
        <v>6400</v>
      </c>
      <c r="D90" s="237">
        <v>16.349399999999999</v>
      </c>
      <c r="E90" s="39">
        <v>14.75</v>
      </c>
      <c r="F90" s="39">
        <f t="shared" ref="F90" si="43">C90*(E90-D90)</f>
        <v>-10236.159999999996</v>
      </c>
      <c r="G90" s="39">
        <f t="shared" ref="G90" si="44">D90*C90</f>
        <v>104636.15999999999</v>
      </c>
      <c r="H90" s="227">
        <f t="shared" ref="H90" si="45">(E90-D90)/D90</f>
        <v>-9.78262199224436E-2</v>
      </c>
      <c r="I90" s="39"/>
      <c r="J90" s="39"/>
      <c r="K90" s="39">
        <v>4380</v>
      </c>
      <c r="L90" s="39"/>
    </row>
    <row r="91" spans="1:12" x14ac:dyDescent="0.25">
      <c r="A91">
        <v>4300</v>
      </c>
      <c r="B91" s="153">
        <v>42822</v>
      </c>
      <c r="C91" s="10">
        <v>6400</v>
      </c>
      <c r="D91" s="237">
        <v>16.349399999999999</v>
      </c>
      <c r="E91" s="39">
        <v>15.23</v>
      </c>
      <c r="F91" s="39">
        <f t="shared" ref="F91:F92" si="46">C91*(E91-D91)</f>
        <v>-7164.1599999999926</v>
      </c>
      <c r="G91" s="39">
        <f t="shared" ref="G91:G92" si="47">D91*C91</f>
        <v>104636.15999999999</v>
      </c>
      <c r="H91" s="227">
        <f t="shared" ref="H91:H92" si="48">(E91-D91)/D91</f>
        <v>-6.8467344367377322E-2</v>
      </c>
      <c r="I91" s="39"/>
      <c r="J91" s="39"/>
      <c r="K91" s="39">
        <v>7452</v>
      </c>
      <c r="L91" s="39"/>
    </row>
    <row r="92" spans="1:12" x14ac:dyDescent="0.25">
      <c r="A92">
        <v>3900</v>
      </c>
      <c r="B92" s="153">
        <v>42823</v>
      </c>
      <c r="C92" s="434">
        <v>6000</v>
      </c>
      <c r="D92" s="656">
        <v>16.407399999999999</v>
      </c>
      <c r="E92" s="39">
        <v>15.48</v>
      </c>
      <c r="F92" s="39">
        <f t="shared" si="46"/>
        <v>-5564.3999999999924</v>
      </c>
      <c r="G92" s="39">
        <f t="shared" si="47"/>
        <v>98444.4</v>
      </c>
      <c r="H92" s="227">
        <f t="shared" si="48"/>
        <v>-5.6523276082743074E-2</v>
      </c>
      <c r="I92" s="39">
        <v>16.25</v>
      </c>
      <c r="J92" s="39"/>
      <c r="K92" s="39">
        <v>9051</v>
      </c>
      <c r="L92" s="39"/>
    </row>
    <row r="93" spans="1:12" x14ac:dyDescent="0.25">
      <c r="A93">
        <v>4100</v>
      </c>
      <c r="B93" s="153">
        <v>42830</v>
      </c>
      <c r="C93" s="434">
        <v>6000</v>
      </c>
      <c r="D93" s="656">
        <v>16.388999999999999</v>
      </c>
      <c r="E93" s="39">
        <v>15.98</v>
      </c>
      <c r="F93" s="39">
        <f t="shared" ref="F93:F106" si="49">C93*(E93-D93)</f>
        <v>-2453.9999999999936</v>
      </c>
      <c r="G93" s="39">
        <f t="shared" ref="G93:G106" si="50">D93*C93</f>
        <v>98334</v>
      </c>
      <c r="H93" s="227">
        <f t="shared" ref="H93:H106" si="51">(E93-D93)/D93</f>
        <v>-2.4955763011776128E-2</v>
      </c>
      <c r="I93" s="39">
        <v>16.25</v>
      </c>
      <c r="J93" s="39"/>
      <c r="K93" s="39">
        <v>12159</v>
      </c>
      <c r="L93" s="39"/>
    </row>
    <row r="94" spans="1:12" x14ac:dyDescent="0.25">
      <c r="A94">
        <v>4800</v>
      </c>
      <c r="B94" s="153">
        <v>42838</v>
      </c>
      <c r="C94" s="10">
        <v>6200</v>
      </c>
      <c r="D94" s="237">
        <v>16.375</v>
      </c>
      <c r="E94" s="39">
        <v>15.9</v>
      </c>
      <c r="F94" s="39">
        <f t="shared" si="49"/>
        <v>-2944.9999999999977</v>
      </c>
      <c r="G94" s="39">
        <f t="shared" si="50"/>
        <v>101525</v>
      </c>
      <c r="H94" s="226">
        <f t="shared" si="51"/>
        <v>-2.9007633587786238E-2</v>
      </c>
      <c r="I94" s="39"/>
      <c r="J94" s="39"/>
      <c r="K94" s="39">
        <v>11731</v>
      </c>
      <c r="L94" s="39"/>
    </row>
    <row r="95" spans="1:12" x14ac:dyDescent="0.25">
      <c r="A95">
        <v>5300</v>
      </c>
      <c r="B95" s="153">
        <v>42844</v>
      </c>
      <c r="C95" s="10">
        <v>6400</v>
      </c>
      <c r="D95" s="237">
        <v>16.335000000000001</v>
      </c>
      <c r="E95" s="39">
        <v>15.06</v>
      </c>
      <c r="F95" s="39">
        <f t="shared" si="49"/>
        <v>-8160.0000000000018</v>
      </c>
      <c r="G95" s="39">
        <f t="shared" si="50"/>
        <v>104544</v>
      </c>
      <c r="H95" s="226">
        <f t="shared" si="51"/>
        <v>-7.805325987144171E-2</v>
      </c>
      <c r="I95" s="39"/>
      <c r="J95" s="39"/>
      <c r="K95" s="39">
        <v>6457</v>
      </c>
      <c r="L95" s="39"/>
    </row>
    <row r="96" spans="1:12" x14ac:dyDescent="0.25">
      <c r="A96">
        <v>5700</v>
      </c>
      <c r="B96" s="153">
        <v>42854</v>
      </c>
      <c r="C96" s="10">
        <v>6400</v>
      </c>
      <c r="D96" s="237">
        <v>16.334199999999999</v>
      </c>
      <c r="E96" s="39">
        <v>14.87</v>
      </c>
      <c r="F96" s="39">
        <f t="shared" si="49"/>
        <v>-9370.8799999999992</v>
      </c>
      <c r="G96" s="39">
        <f t="shared" si="50"/>
        <v>104538.87999999999</v>
      </c>
      <c r="H96" s="226">
        <f t="shared" si="51"/>
        <v>-8.9640141543509938E-2</v>
      </c>
      <c r="I96" s="39"/>
      <c r="J96" s="39"/>
      <c r="K96" s="39">
        <v>5245</v>
      </c>
      <c r="L96" s="39"/>
    </row>
    <row r="97" spans="1:12" x14ac:dyDescent="0.25">
      <c r="A97">
        <v>5700</v>
      </c>
      <c r="B97" s="153">
        <v>42860</v>
      </c>
      <c r="C97" s="10">
        <v>6700</v>
      </c>
      <c r="D97" s="237">
        <v>16.225999999999999</v>
      </c>
      <c r="E97" s="39">
        <v>14.29</v>
      </c>
      <c r="F97" s="39">
        <f t="shared" si="49"/>
        <v>-12971.199999999999</v>
      </c>
      <c r="G97" s="39">
        <f t="shared" si="50"/>
        <v>108714.2</v>
      </c>
      <c r="H97" s="226">
        <f t="shared" si="51"/>
        <v>-0.11931468014298041</v>
      </c>
      <c r="I97" s="39"/>
      <c r="J97" s="39"/>
      <c r="K97" s="39">
        <v>1644</v>
      </c>
      <c r="L97" s="39"/>
    </row>
    <row r="98" spans="1:12" x14ac:dyDescent="0.25">
      <c r="A98">
        <v>6000</v>
      </c>
      <c r="B98" s="153">
        <v>42862</v>
      </c>
      <c r="C98" s="10">
        <v>6700</v>
      </c>
      <c r="D98" s="237">
        <v>16.225999999999999</v>
      </c>
      <c r="E98" s="39">
        <v>14.29</v>
      </c>
      <c r="F98" s="39">
        <f t="shared" si="49"/>
        <v>-12971.199999999999</v>
      </c>
      <c r="G98" s="39">
        <f t="shared" si="50"/>
        <v>108714.2</v>
      </c>
      <c r="H98" s="226">
        <f t="shared" si="51"/>
        <v>-0.11931468014298041</v>
      </c>
      <c r="I98" s="39"/>
      <c r="J98" s="39"/>
      <c r="K98" s="39">
        <v>1644</v>
      </c>
      <c r="L98" s="39"/>
    </row>
    <row r="99" spans="1:12" x14ac:dyDescent="0.25">
      <c r="A99">
        <v>5700</v>
      </c>
      <c r="B99" s="153">
        <v>42863</v>
      </c>
      <c r="C99" s="10">
        <v>6400</v>
      </c>
      <c r="D99" s="237">
        <v>16.318000000000001</v>
      </c>
      <c r="E99" s="39">
        <v>14.59</v>
      </c>
      <c r="F99" s="39">
        <f t="shared" si="49"/>
        <v>-11059.20000000001</v>
      </c>
      <c r="G99" s="39">
        <f t="shared" si="50"/>
        <v>104435.20000000001</v>
      </c>
      <c r="H99" s="226">
        <f t="shared" si="51"/>
        <v>-0.1058953303100871</v>
      </c>
      <c r="I99" s="39"/>
      <c r="J99" s="39"/>
      <c r="K99" s="39">
        <v>3559</v>
      </c>
      <c r="L99" s="39"/>
    </row>
    <row r="100" spans="1:12" x14ac:dyDescent="0.25">
      <c r="A100">
        <v>5700</v>
      </c>
      <c r="B100" s="153">
        <v>42866</v>
      </c>
      <c r="C100" s="10">
        <v>6400</v>
      </c>
      <c r="D100" s="237">
        <v>16.318000000000001</v>
      </c>
      <c r="E100" s="39">
        <v>14.48</v>
      </c>
      <c r="F100" s="39">
        <f t="shared" si="49"/>
        <v>-11763.200000000006</v>
      </c>
      <c r="G100" s="39">
        <f t="shared" si="50"/>
        <v>104435.20000000001</v>
      </c>
      <c r="H100" s="226">
        <f t="shared" si="51"/>
        <v>-0.11263635249417826</v>
      </c>
      <c r="I100" s="39"/>
      <c r="J100" s="39"/>
      <c r="K100" s="39">
        <v>2855</v>
      </c>
      <c r="L100" s="39"/>
    </row>
    <row r="101" spans="1:12" x14ac:dyDescent="0.25">
      <c r="A101">
        <v>5900</v>
      </c>
      <c r="B101" s="153">
        <v>42872</v>
      </c>
      <c r="C101" s="10">
        <v>6531</v>
      </c>
      <c r="D101" s="237">
        <v>16.274999999999999</v>
      </c>
      <c r="E101" s="39">
        <v>14.35</v>
      </c>
      <c r="F101" s="39">
        <f t="shared" si="49"/>
        <v>-12572.174999999994</v>
      </c>
      <c r="G101" s="39">
        <f t="shared" si="50"/>
        <v>106292.02499999999</v>
      </c>
      <c r="H101" s="226">
        <f t="shared" si="51"/>
        <v>-0.11827956989247307</v>
      </c>
      <c r="I101" s="39"/>
      <c r="J101" s="39"/>
      <c r="K101" s="39">
        <v>2044</v>
      </c>
      <c r="L101" s="39"/>
    </row>
    <row r="102" spans="1:12" x14ac:dyDescent="0.25">
      <c r="B102" s="153">
        <v>42873</v>
      </c>
      <c r="C102" s="10">
        <v>6400</v>
      </c>
      <c r="D102" s="237">
        <v>16.306000000000001</v>
      </c>
      <c r="E102" s="39">
        <v>14.35</v>
      </c>
      <c r="F102" s="39">
        <f t="shared" si="49"/>
        <v>-12518.400000000009</v>
      </c>
      <c r="G102" s="39">
        <f t="shared" si="50"/>
        <v>104358.40000000001</v>
      </c>
      <c r="H102" s="226">
        <f t="shared" si="51"/>
        <v>-0.11995584447442667</v>
      </c>
      <c r="I102" s="39"/>
      <c r="J102" s="39"/>
      <c r="K102" s="39">
        <v>2098</v>
      </c>
      <c r="L102" s="39"/>
    </row>
    <row r="103" spans="1:12" x14ac:dyDescent="0.25">
      <c r="A103">
        <v>5600</v>
      </c>
      <c r="B103" s="153">
        <v>42873</v>
      </c>
      <c r="C103" s="10">
        <v>6700</v>
      </c>
      <c r="D103" s="237">
        <v>16.21</v>
      </c>
      <c r="E103" s="39">
        <v>14.16</v>
      </c>
      <c r="F103" s="39">
        <f t="shared" si="49"/>
        <v>-13735.000000000005</v>
      </c>
      <c r="G103" s="39">
        <f t="shared" si="50"/>
        <v>108607</v>
      </c>
      <c r="H103" s="226">
        <f t="shared" si="51"/>
        <v>-0.1264651449722394</v>
      </c>
      <c r="I103" s="39"/>
      <c r="J103" s="39"/>
      <c r="K103" s="39">
        <v>1016</v>
      </c>
      <c r="L103" s="39"/>
    </row>
    <row r="104" spans="1:12" x14ac:dyDescent="0.25">
      <c r="A104">
        <v>5300</v>
      </c>
      <c r="B104" s="153">
        <v>42874</v>
      </c>
      <c r="C104" s="10">
        <v>6400</v>
      </c>
      <c r="D104" s="237">
        <v>16.286000000000001</v>
      </c>
      <c r="E104" s="39">
        <v>14.58</v>
      </c>
      <c r="F104" s="39">
        <f t="shared" si="49"/>
        <v>-10918.400000000009</v>
      </c>
      <c r="G104" s="39">
        <f t="shared" si="50"/>
        <v>104230.40000000001</v>
      </c>
      <c r="H104" s="226">
        <f t="shared" si="51"/>
        <v>-0.10475254820090883</v>
      </c>
      <c r="I104" s="39"/>
      <c r="J104" s="39"/>
      <c r="K104" s="39">
        <v>3664</v>
      </c>
      <c r="L104" s="39"/>
    </row>
    <row r="105" spans="1:12" x14ac:dyDescent="0.25">
      <c r="B105" s="153">
        <v>42880</v>
      </c>
      <c r="C105" s="10">
        <v>7000</v>
      </c>
      <c r="D105" s="237">
        <v>16.05</v>
      </c>
      <c r="E105" s="39">
        <v>13.5</v>
      </c>
      <c r="F105" s="39">
        <f t="shared" si="49"/>
        <v>-17850.000000000004</v>
      </c>
      <c r="G105" s="39">
        <f t="shared" si="50"/>
        <v>112350</v>
      </c>
      <c r="H105" s="226">
        <f t="shared" si="51"/>
        <v>-0.15887850467289724</v>
      </c>
      <c r="I105" s="39"/>
      <c r="J105" s="39"/>
      <c r="K105" s="39">
        <v>-3227</v>
      </c>
      <c r="L105" s="39"/>
    </row>
    <row r="106" spans="1:12" x14ac:dyDescent="0.25">
      <c r="A106">
        <v>5800</v>
      </c>
      <c r="B106" s="153">
        <v>42899</v>
      </c>
      <c r="C106" s="10">
        <v>8000</v>
      </c>
      <c r="D106" s="237">
        <v>15.624000000000001</v>
      </c>
      <c r="E106" s="39">
        <v>13.01</v>
      </c>
      <c r="F106" s="39">
        <f t="shared" si="49"/>
        <v>-20912.000000000007</v>
      </c>
      <c r="G106" s="39">
        <f t="shared" si="50"/>
        <v>124992</v>
      </c>
      <c r="H106" s="226">
        <f t="shared" si="51"/>
        <v>-0.16730670762928831</v>
      </c>
      <c r="I106" s="39"/>
      <c r="J106" s="39"/>
      <c r="K106" s="39">
        <v>-6296</v>
      </c>
      <c r="L106" s="39"/>
    </row>
    <row r="107" spans="1:12" x14ac:dyDescent="0.25">
      <c r="A107">
        <v>8000</v>
      </c>
      <c r="B107" s="153">
        <v>42939</v>
      </c>
      <c r="C107" s="10">
        <v>8000</v>
      </c>
      <c r="D107" s="237">
        <v>15.584</v>
      </c>
      <c r="E107" s="39">
        <v>11.85</v>
      </c>
      <c r="F107" s="39">
        <f t="shared" ref="F107:F108" si="52">C107*(E107-D107)</f>
        <v>-29872</v>
      </c>
      <c r="G107" s="39">
        <f t="shared" ref="G107:G108" si="53">D107*C107</f>
        <v>124672</v>
      </c>
      <c r="H107" s="226">
        <f t="shared" ref="H107:H108" si="54">(E107-D107)/D107</f>
        <v>-0.2396047227926078</v>
      </c>
      <c r="I107" s="39"/>
      <c r="J107" s="39"/>
      <c r="K107" s="39">
        <v>-15256</v>
      </c>
      <c r="L107" s="39"/>
    </row>
    <row r="108" spans="1:12" x14ac:dyDescent="0.25">
      <c r="A108">
        <v>8000</v>
      </c>
      <c r="B108" s="153">
        <v>42943</v>
      </c>
      <c r="C108" s="10">
        <v>8200</v>
      </c>
      <c r="D108" s="237">
        <v>15.5</v>
      </c>
      <c r="E108" s="39">
        <v>12.23</v>
      </c>
      <c r="F108" s="39">
        <f t="shared" si="52"/>
        <v>-26813.999999999996</v>
      </c>
      <c r="G108" s="39">
        <f t="shared" si="53"/>
        <v>127100</v>
      </c>
      <c r="H108" s="226">
        <f t="shared" si="54"/>
        <v>-0.21096774193548384</v>
      </c>
      <c r="I108" s="39"/>
      <c r="J108" s="39"/>
      <c r="K108" s="39">
        <v>-12200</v>
      </c>
      <c r="L108" s="39"/>
    </row>
    <row r="109" spans="1:12" x14ac:dyDescent="0.25">
      <c r="B109" s="153">
        <v>42944</v>
      </c>
      <c r="C109" s="10">
        <v>8000</v>
      </c>
      <c r="D109" s="237">
        <v>15.5733</v>
      </c>
      <c r="E109" s="39">
        <v>12.36</v>
      </c>
      <c r="F109" s="39">
        <f t="shared" ref="F109:F110" si="55">C109*(E109-D109)</f>
        <v>-25706.400000000001</v>
      </c>
      <c r="G109" s="39">
        <f t="shared" ref="G109:G110" si="56">D109*C109</f>
        <v>124586.4</v>
      </c>
      <c r="H109" s="226">
        <f t="shared" ref="H109:H110" si="57">(E109-D109)/D109</f>
        <v>-0.20633391766677586</v>
      </c>
      <c r="I109" s="39"/>
      <c r="J109" s="39"/>
      <c r="K109" s="39">
        <v>-11091</v>
      </c>
      <c r="L109" s="39"/>
    </row>
    <row r="110" spans="1:12" x14ac:dyDescent="0.25">
      <c r="A110">
        <v>7400</v>
      </c>
      <c r="B110" s="153">
        <v>42950</v>
      </c>
      <c r="C110" s="10">
        <v>8000</v>
      </c>
      <c r="D110" s="237">
        <v>15.516999999999999</v>
      </c>
      <c r="E110" s="39">
        <v>12.51</v>
      </c>
      <c r="F110" s="39">
        <f t="shared" si="55"/>
        <v>-24055.999999999996</v>
      </c>
      <c r="G110" s="39">
        <f t="shared" si="56"/>
        <v>124136</v>
      </c>
      <c r="H110" s="226">
        <f t="shared" si="57"/>
        <v>-0.19378745891602756</v>
      </c>
      <c r="I110" s="39"/>
      <c r="J110" s="39"/>
      <c r="K110" s="39">
        <v>-9442</v>
      </c>
      <c r="L110" s="39"/>
    </row>
    <row r="111" spans="1:12" x14ac:dyDescent="0.25">
      <c r="A111">
        <v>7200</v>
      </c>
      <c r="B111" s="153">
        <v>42953</v>
      </c>
      <c r="C111" s="10">
        <v>8000</v>
      </c>
      <c r="D111" s="237">
        <v>15.516999999999999</v>
      </c>
      <c r="E111" s="39">
        <v>12.9</v>
      </c>
      <c r="F111" s="39">
        <f t="shared" ref="F111:F115" si="58">C111*(E111-D111)</f>
        <v>-20935.999999999993</v>
      </c>
      <c r="G111" s="39">
        <f t="shared" ref="G111:G115" si="59">D111*C111</f>
        <v>124136</v>
      </c>
      <c r="H111" s="226">
        <f t="shared" ref="H111:H115" si="60">(E111-D111)/D111</f>
        <v>-0.16865373461364949</v>
      </c>
      <c r="I111" s="39"/>
      <c r="J111" s="39"/>
      <c r="K111" s="39">
        <v>-6322</v>
      </c>
      <c r="L111" s="39"/>
    </row>
    <row r="112" spans="1:12" x14ac:dyDescent="0.25">
      <c r="A112">
        <v>7200</v>
      </c>
      <c r="B112" s="153">
        <v>42967</v>
      </c>
      <c r="C112" s="10">
        <v>8900</v>
      </c>
      <c r="D112" s="237">
        <v>15.09</v>
      </c>
      <c r="E112" s="39">
        <v>10.87</v>
      </c>
      <c r="F112" s="39">
        <f t="shared" si="58"/>
        <v>-37558.000000000007</v>
      </c>
      <c r="G112" s="39">
        <f t="shared" si="59"/>
        <v>134301</v>
      </c>
      <c r="H112" s="226">
        <f t="shared" si="60"/>
        <v>-0.27965540092776675</v>
      </c>
      <c r="I112" s="39"/>
      <c r="J112" s="39"/>
      <c r="K112" s="39">
        <v>-22952</v>
      </c>
      <c r="L112" s="39"/>
    </row>
    <row r="113" spans="1:12" x14ac:dyDescent="0.25">
      <c r="A113">
        <v>7100</v>
      </c>
      <c r="B113" s="153">
        <v>42978</v>
      </c>
      <c r="C113" s="10">
        <v>8600</v>
      </c>
      <c r="D113" s="237">
        <v>15.226800000000001</v>
      </c>
      <c r="E113" s="39">
        <v>11.27</v>
      </c>
      <c r="F113" s="39">
        <f t="shared" si="58"/>
        <v>-34028.48000000001</v>
      </c>
      <c r="G113" s="39">
        <f t="shared" si="59"/>
        <v>130950.48000000001</v>
      </c>
      <c r="H113" s="226">
        <f t="shared" si="60"/>
        <v>-0.25985761946042513</v>
      </c>
      <c r="I113" s="39"/>
      <c r="J113" s="39"/>
      <c r="K113" s="39">
        <v>-19413</v>
      </c>
      <c r="L113" s="39"/>
    </row>
    <row r="114" spans="1:12" x14ac:dyDescent="0.25">
      <c r="A114">
        <v>7300</v>
      </c>
      <c r="B114" s="153">
        <v>42984</v>
      </c>
      <c r="C114" s="10">
        <v>8200</v>
      </c>
      <c r="D114" s="237">
        <v>15.403</v>
      </c>
      <c r="E114" s="39">
        <v>11.6</v>
      </c>
      <c r="F114" s="39">
        <f t="shared" si="58"/>
        <v>-31184.600000000006</v>
      </c>
      <c r="G114" s="39">
        <f t="shared" si="59"/>
        <v>126304.6</v>
      </c>
      <c r="H114" s="226">
        <f t="shared" si="60"/>
        <v>-0.24689995455430766</v>
      </c>
      <c r="I114" s="39"/>
      <c r="J114" s="39"/>
      <c r="K114" s="39">
        <v>-17305</v>
      </c>
      <c r="L114" s="39"/>
    </row>
    <row r="115" spans="1:12" x14ac:dyDescent="0.25">
      <c r="A115">
        <v>7300</v>
      </c>
      <c r="B115" s="153">
        <v>42986</v>
      </c>
      <c r="C115" s="10">
        <v>8600</v>
      </c>
      <c r="D115" s="237">
        <v>15.202999999999999</v>
      </c>
      <c r="E115" s="39">
        <v>11.11</v>
      </c>
      <c r="F115" s="39">
        <f t="shared" si="58"/>
        <v>-35199.800000000003</v>
      </c>
      <c r="G115" s="39">
        <f t="shared" si="59"/>
        <v>130745.79999999999</v>
      </c>
      <c r="H115" s="226">
        <f t="shared" si="60"/>
        <v>-0.26922317963559822</v>
      </c>
      <c r="I115" s="39"/>
      <c r="J115" s="39"/>
      <c r="K115" s="39">
        <v>-20585</v>
      </c>
      <c r="L115" s="39"/>
    </row>
    <row r="116" spans="1:12" x14ac:dyDescent="0.25">
      <c r="A116">
        <v>6900</v>
      </c>
      <c r="B116" s="153">
        <v>42987</v>
      </c>
      <c r="C116" s="10">
        <v>8200</v>
      </c>
      <c r="D116" s="237">
        <v>15.3935</v>
      </c>
      <c r="E116" s="39">
        <v>11.3</v>
      </c>
      <c r="F116" s="39">
        <f t="shared" ref="F116:F117" si="61">C116*(E116-D116)</f>
        <v>-33566.69999999999</v>
      </c>
      <c r="G116" s="39">
        <f t="shared" ref="G116:G117" si="62">D116*C116</f>
        <v>126226.7</v>
      </c>
      <c r="H116" s="226">
        <f t="shared" ref="H116:H117" si="63">(E116-D116)/D116</f>
        <v>-0.26592392893104227</v>
      </c>
      <c r="I116" s="39"/>
      <c r="J116" s="39"/>
      <c r="K116" s="39">
        <v>-18951</v>
      </c>
      <c r="L116" s="39"/>
    </row>
    <row r="117" spans="1:12" x14ac:dyDescent="0.25">
      <c r="A117">
        <v>7500</v>
      </c>
      <c r="B117" s="153">
        <v>42996</v>
      </c>
      <c r="C117" s="10">
        <v>8000</v>
      </c>
      <c r="D117" s="237">
        <v>15.43</v>
      </c>
      <c r="E117" s="39">
        <v>12.02</v>
      </c>
      <c r="F117" s="39">
        <f t="shared" si="61"/>
        <v>-27280</v>
      </c>
      <c r="G117" s="39">
        <f t="shared" si="62"/>
        <v>123440</v>
      </c>
      <c r="H117" s="226">
        <f t="shared" si="63"/>
        <v>-0.22099805573558004</v>
      </c>
      <c r="I117" s="39">
        <v>15</v>
      </c>
      <c r="J117" s="39"/>
      <c r="K117" s="39">
        <v>-12635</v>
      </c>
      <c r="L117" s="39"/>
    </row>
    <row r="118" spans="1:12" x14ac:dyDescent="0.25">
      <c r="A118">
        <v>7600</v>
      </c>
      <c r="B118" s="153">
        <v>42999</v>
      </c>
      <c r="C118" s="430">
        <v>8000</v>
      </c>
      <c r="D118" s="804">
        <v>15.43</v>
      </c>
      <c r="E118" s="39">
        <v>12.73</v>
      </c>
      <c r="F118" s="39">
        <f t="shared" ref="F118:F124" si="64">C118*(E118-D118)</f>
        <v>-21599.999999999993</v>
      </c>
      <c r="G118" s="39">
        <f t="shared" ref="G118:G124" si="65">D118*C118</f>
        <v>123440</v>
      </c>
      <c r="H118" s="226">
        <f t="shared" ref="H118:H124" si="66">(E118-D118)/D118</f>
        <v>-0.17498379779650028</v>
      </c>
      <c r="I118" s="39">
        <v>15</v>
      </c>
      <c r="J118" s="39"/>
      <c r="K118" s="39">
        <v>-6955</v>
      </c>
      <c r="L118" s="39"/>
    </row>
    <row r="119" spans="1:12" x14ac:dyDescent="0.25">
      <c r="A119">
        <v>7100</v>
      </c>
      <c r="B119" s="153">
        <v>43000</v>
      </c>
      <c r="C119" s="10">
        <v>7500</v>
      </c>
      <c r="D119" s="237">
        <v>15.6</v>
      </c>
      <c r="E119" s="39">
        <v>12.83</v>
      </c>
      <c r="F119" s="39">
        <f t="shared" si="64"/>
        <v>-20774.999999999996</v>
      </c>
      <c r="G119" s="39">
        <f t="shared" si="65"/>
        <v>117000</v>
      </c>
      <c r="H119" s="226">
        <f t="shared" si="66"/>
        <v>-0.17756410256410254</v>
      </c>
      <c r="I119" s="39"/>
      <c r="J119" s="39"/>
      <c r="K119" s="39"/>
      <c r="L119" s="39"/>
    </row>
    <row r="120" spans="1:12" x14ac:dyDescent="0.25">
      <c r="A120">
        <v>6600</v>
      </c>
      <c r="B120" s="153">
        <v>43000</v>
      </c>
      <c r="C120" s="10">
        <v>7000</v>
      </c>
      <c r="D120" s="237">
        <v>15.788</v>
      </c>
      <c r="E120" s="39">
        <v>12.79</v>
      </c>
      <c r="F120" s="39">
        <f t="shared" si="64"/>
        <v>-20986.000000000007</v>
      </c>
      <c r="G120" s="39">
        <f t="shared" si="65"/>
        <v>110516</v>
      </c>
      <c r="H120" s="226">
        <f t="shared" si="66"/>
        <v>-0.1898910564986066</v>
      </c>
      <c r="I120" s="39">
        <v>15.5</v>
      </c>
      <c r="J120" s="39"/>
      <c r="K120" s="39">
        <v>-6370</v>
      </c>
      <c r="L120" s="39"/>
    </row>
    <row r="121" spans="1:12" x14ac:dyDescent="0.25">
      <c r="A121">
        <v>6300</v>
      </c>
      <c r="B121" s="153">
        <v>43004</v>
      </c>
      <c r="C121" s="10">
        <v>6700</v>
      </c>
      <c r="D121" s="237">
        <v>15.903</v>
      </c>
      <c r="E121" s="39">
        <v>13.4</v>
      </c>
      <c r="F121" s="39">
        <f t="shared" si="64"/>
        <v>-16770.100000000002</v>
      </c>
      <c r="G121" s="39">
        <f t="shared" si="65"/>
        <v>106550.1</v>
      </c>
      <c r="H121" s="226">
        <f t="shared" si="66"/>
        <v>-0.15739168710306231</v>
      </c>
      <c r="I121" s="39">
        <v>15.5</v>
      </c>
      <c r="J121" s="39"/>
      <c r="K121" s="39">
        <v>-2155</v>
      </c>
      <c r="L121" s="39"/>
    </row>
    <row r="122" spans="1:12" x14ac:dyDescent="0.25">
      <c r="A122">
        <v>6000</v>
      </c>
      <c r="B122" s="153">
        <v>43005</v>
      </c>
      <c r="C122" s="10">
        <v>6400</v>
      </c>
      <c r="D122" s="237">
        <v>16.003</v>
      </c>
      <c r="E122" s="39">
        <v>13.73</v>
      </c>
      <c r="F122" s="39">
        <f t="shared" si="64"/>
        <v>-14547.199999999997</v>
      </c>
      <c r="G122" s="39">
        <f t="shared" si="65"/>
        <v>102419.2</v>
      </c>
      <c r="H122" s="226">
        <f t="shared" si="66"/>
        <v>-0.14203586827469847</v>
      </c>
      <c r="I122" s="39"/>
      <c r="J122" s="39"/>
      <c r="K122" s="39">
        <v>71</v>
      </c>
      <c r="L122" s="39"/>
    </row>
    <row r="123" spans="1:12" x14ac:dyDescent="0.25">
      <c r="A123">
        <v>6000</v>
      </c>
      <c r="B123" s="153">
        <v>43006</v>
      </c>
      <c r="C123" s="10">
        <v>6700</v>
      </c>
      <c r="D123" s="237">
        <v>15.8888</v>
      </c>
      <c r="E123" s="39">
        <v>13.53</v>
      </c>
      <c r="F123" s="39">
        <f t="shared" si="64"/>
        <v>-15803.960000000003</v>
      </c>
      <c r="G123" s="39">
        <f t="shared" si="65"/>
        <v>106454.95999999999</v>
      </c>
      <c r="H123" s="226">
        <f t="shared" si="66"/>
        <v>-0.14845677458335435</v>
      </c>
      <c r="I123" s="39">
        <v>15.5</v>
      </c>
      <c r="J123" s="39"/>
      <c r="K123" s="39">
        <v>-1188</v>
      </c>
      <c r="L123" s="39"/>
    </row>
    <row r="124" spans="1:12" x14ac:dyDescent="0.25">
      <c r="A124">
        <v>5700</v>
      </c>
      <c r="B124" s="153">
        <v>43011</v>
      </c>
      <c r="C124" s="10">
        <v>6400</v>
      </c>
      <c r="D124" s="237">
        <v>15.99</v>
      </c>
      <c r="E124" s="39">
        <v>13.76</v>
      </c>
      <c r="F124" s="39">
        <f t="shared" si="64"/>
        <v>-14272.000000000004</v>
      </c>
      <c r="G124" s="39">
        <f t="shared" si="65"/>
        <v>102336</v>
      </c>
      <c r="H124" s="226">
        <f t="shared" si="66"/>
        <v>-0.13946216385240778</v>
      </c>
      <c r="I124" s="39"/>
      <c r="J124" s="39"/>
      <c r="K124" s="39">
        <v>341</v>
      </c>
      <c r="L124" s="39"/>
    </row>
    <row r="125" spans="1:12" x14ac:dyDescent="0.25">
      <c r="A125">
        <v>6100</v>
      </c>
      <c r="B125" s="153">
        <v>43023</v>
      </c>
      <c r="C125" s="10">
        <v>6400</v>
      </c>
      <c r="D125" s="237">
        <v>15.99</v>
      </c>
      <c r="E125" s="39">
        <v>13.75</v>
      </c>
      <c r="F125" s="39">
        <f t="shared" ref="F125" si="67">C125*(E125-D125)</f>
        <v>-14336.000000000002</v>
      </c>
      <c r="G125" s="39">
        <f t="shared" ref="G125" si="68">D125*C125</f>
        <v>102336</v>
      </c>
      <c r="H125" s="226">
        <f t="shared" ref="H125" si="69">(E125-D125)/D125</f>
        <v>-0.14008755472170106</v>
      </c>
      <c r="I125" s="39">
        <v>15.5</v>
      </c>
      <c r="J125" s="39">
        <v>69.28</v>
      </c>
      <c r="K125" s="39">
        <v>277</v>
      </c>
      <c r="L125" s="39"/>
    </row>
    <row r="126" spans="1:12" x14ac:dyDescent="0.25">
      <c r="B126" s="153">
        <v>43028</v>
      </c>
      <c r="C126" s="10">
        <v>6400</v>
      </c>
      <c r="D126" s="237">
        <v>15.99</v>
      </c>
      <c r="E126" s="39">
        <v>13.93</v>
      </c>
      <c r="F126" s="39">
        <f t="shared" ref="F126" si="70">C126*(E126-D126)</f>
        <v>-13184.000000000004</v>
      </c>
      <c r="G126" s="39">
        <f t="shared" ref="G126" si="71">D126*C126</f>
        <v>102336</v>
      </c>
      <c r="H126" s="226">
        <f t="shared" ref="H126" si="72">(E126-D126)/D126</f>
        <v>-0.12883051907442156</v>
      </c>
      <c r="I126" s="39"/>
      <c r="J126" s="39"/>
      <c r="K126" s="39">
        <v>1429</v>
      </c>
      <c r="L126" s="39"/>
    </row>
    <row r="127" spans="1:12" x14ac:dyDescent="0.25">
      <c r="A127">
        <v>6100</v>
      </c>
      <c r="B127" s="153">
        <v>43031</v>
      </c>
      <c r="C127" s="10">
        <v>6400</v>
      </c>
      <c r="D127" s="237">
        <v>15.99</v>
      </c>
      <c r="E127" s="39">
        <v>13.63</v>
      </c>
      <c r="F127" s="39">
        <f t="shared" ref="F127:F139" si="73">C127*(E127-D127)</f>
        <v>-15103.999999999996</v>
      </c>
      <c r="G127" s="39">
        <f t="shared" ref="G127:G139" si="74">D127*C127</f>
        <v>102336</v>
      </c>
      <c r="H127" s="226">
        <f t="shared" ref="H127:H139" si="75">(E127-D127)/D127</f>
        <v>-0.14759224515322072</v>
      </c>
      <c r="I127" s="39"/>
      <c r="J127" s="39"/>
      <c r="K127" s="39">
        <v>-491</v>
      </c>
      <c r="L127" s="39"/>
    </row>
    <row r="128" spans="1:12" x14ac:dyDescent="0.25">
      <c r="A128">
        <v>6000</v>
      </c>
      <c r="B128" s="153">
        <v>43040</v>
      </c>
      <c r="C128" s="434">
        <v>6000</v>
      </c>
      <c r="D128" s="656">
        <v>16.091100000000001</v>
      </c>
      <c r="E128" s="39">
        <v>14.87</v>
      </c>
      <c r="F128" s="39">
        <f t="shared" si="73"/>
        <v>-7326.6000000000095</v>
      </c>
      <c r="G128" s="39">
        <f t="shared" si="74"/>
        <v>96546.6</v>
      </c>
      <c r="H128" s="226">
        <f t="shared" si="75"/>
        <v>-7.5886670271143777E-2</v>
      </c>
      <c r="I128" s="197" t="s">
        <v>811</v>
      </c>
      <c r="J128" s="39"/>
      <c r="K128" s="39">
        <v>7289</v>
      </c>
      <c r="L128" s="39"/>
    </row>
    <row r="129" spans="1:12" x14ac:dyDescent="0.25">
      <c r="A129">
        <v>5700</v>
      </c>
      <c r="B129" s="153">
        <v>43042</v>
      </c>
      <c r="C129" s="10">
        <v>5700</v>
      </c>
      <c r="D129" s="237">
        <v>16.117999999999999</v>
      </c>
      <c r="E129" s="39">
        <v>15.58</v>
      </c>
      <c r="F129" s="39">
        <f t="shared" si="73"/>
        <v>-3066.5999999999913</v>
      </c>
      <c r="G129" s="39">
        <f t="shared" si="74"/>
        <v>91872.599999999991</v>
      </c>
      <c r="H129" s="226">
        <f t="shared" si="75"/>
        <v>-3.337883112048632E-2</v>
      </c>
      <c r="I129" s="39"/>
      <c r="J129" s="39"/>
      <c r="K129" s="39">
        <v>11549</v>
      </c>
      <c r="L129" s="39"/>
    </row>
    <row r="130" spans="1:12" x14ac:dyDescent="0.25">
      <c r="A130">
        <v>5600</v>
      </c>
      <c r="B130" s="153">
        <v>43045</v>
      </c>
      <c r="C130" s="10">
        <v>5600</v>
      </c>
      <c r="D130" s="237">
        <v>16.114000000000001</v>
      </c>
      <c r="E130" s="39">
        <v>16.329999999999998</v>
      </c>
      <c r="F130" s="39">
        <f t="shared" si="73"/>
        <v>1209.5999999999863</v>
      </c>
      <c r="G130" s="39">
        <f t="shared" si="74"/>
        <v>90238.400000000009</v>
      </c>
      <c r="H130" s="226">
        <f t="shared" si="75"/>
        <v>1.3404492987464163E-2</v>
      </c>
      <c r="I130" s="39"/>
      <c r="J130" s="39"/>
      <c r="K130" s="39">
        <v>15824</v>
      </c>
      <c r="L130" s="39"/>
    </row>
    <row r="131" spans="1:12" x14ac:dyDescent="0.25">
      <c r="A131">
        <v>5600</v>
      </c>
      <c r="B131" s="153">
        <v>43047</v>
      </c>
      <c r="C131" s="10">
        <v>5700</v>
      </c>
      <c r="D131" s="237">
        <v>16.1084</v>
      </c>
      <c r="E131" s="39">
        <v>15.8</v>
      </c>
      <c r="F131" s="39">
        <f t="shared" si="73"/>
        <v>-1757.8799999999937</v>
      </c>
      <c r="G131" s="39">
        <f t="shared" si="74"/>
        <v>91817.88</v>
      </c>
      <c r="H131" s="226">
        <f t="shared" si="75"/>
        <v>-1.9145290655806842E-2</v>
      </c>
      <c r="I131" s="39"/>
      <c r="J131" s="39"/>
      <c r="K131" s="39">
        <v>12858</v>
      </c>
      <c r="L131" s="39"/>
    </row>
    <row r="132" spans="1:12" x14ac:dyDescent="0.25">
      <c r="A132">
        <v>5600</v>
      </c>
      <c r="B132" s="153">
        <v>43053</v>
      </c>
      <c r="C132" s="434">
        <v>6000</v>
      </c>
      <c r="D132" s="656">
        <v>16.059999999999999</v>
      </c>
      <c r="E132" s="39">
        <v>14.84</v>
      </c>
      <c r="F132" s="39">
        <f t="shared" si="73"/>
        <v>-7319.9999999999927</v>
      </c>
      <c r="G132" s="39">
        <f t="shared" si="74"/>
        <v>96359.999999999985</v>
      </c>
      <c r="H132" s="226">
        <f t="shared" si="75"/>
        <v>-7.5965130759651237E-2</v>
      </c>
      <c r="I132" s="39">
        <v>15.75</v>
      </c>
      <c r="J132" s="39">
        <v>52.87</v>
      </c>
      <c r="K132" s="39">
        <v>7308</v>
      </c>
      <c r="L132" s="39"/>
    </row>
    <row r="133" spans="1:12" x14ac:dyDescent="0.25">
      <c r="A133">
        <v>5600</v>
      </c>
      <c r="B133" s="153">
        <v>43060</v>
      </c>
      <c r="C133" s="10">
        <v>6400</v>
      </c>
      <c r="D133" s="237">
        <v>15.96</v>
      </c>
      <c r="E133" s="39">
        <v>14.52</v>
      </c>
      <c r="F133" s="39">
        <f t="shared" si="73"/>
        <v>-9216.0000000000073</v>
      </c>
      <c r="G133" s="39">
        <f t="shared" si="74"/>
        <v>102144</v>
      </c>
      <c r="H133" s="226">
        <f t="shared" si="75"/>
        <v>-9.0225563909774514E-2</v>
      </c>
      <c r="I133" s="39"/>
      <c r="J133" s="39"/>
      <c r="K133" s="39">
        <v>5398</v>
      </c>
      <c r="L133" s="39"/>
    </row>
    <row r="134" spans="1:12" x14ac:dyDescent="0.25">
      <c r="B134" s="153">
        <v>43068</v>
      </c>
      <c r="C134" s="10">
        <v>6000</v>
      </c>
      <c r="D134" s="237">
        <v>16.010999999999999</v>
      </c>
      <c r="E134" s="39">
        <v>14.78</v>
      </c>
      <c r="F134" s="39">
        <f t="shared" si="73"/>
        <v>-7385.9999999999991</v>
      </c>
      <c r="G134" s="39">
        <f t="shared" si="74"/>
        <v>96066</v>
      </c>
      <c r="H134" s="226">
        <f t="shared" si="75"/>
        <v>-7.6884641808756482E-2</v>
      </c>
      <c r="I134" s="39"/>
      <c r="J134" s="39"/>
      <c r="K134" s="39"/>
      <c r="L134" s="39"/>
    </row>
    <row r="135" spans="1:12" x14ac:dyDescent="0.25">
      <c r="B135" s="153">
        <v>43069</v>
      </c>
      <c r="C135" s="10">
        <v>6100</v>
      </c>
      <c r="D135" s="237">
        <v>15.989000000000001</v>
      </c>
      <c r="E135" s="39">
        <v>14.69</v>
      </c>
      <c r="F135" s="39">
        <f t="shared" si="73"/>
        <v>-7923.9000000000078</v>
      </c>
      <c r="G135" s="39">
        <f t="shared" si="74"/>
        <v>97532.900000000009</v>
      </c>
      <c r="H135" s="226">
        <f t="shared" si="75"/>
        <v>-8.1243354806429496E-2</v>
      </c>
      <c r="I135" s="39"/>
      <c r="J135" s="39"/>
      <c r="K135" s="39"/>
      <c r="L135" s="39"/>
    </row>
    <row r="136" spans="1:12" x14ac:dyDescent="0.25">
      <c r="A136">
        <v>5100</v>
      </c>
      <c r="B136" s="153">
        <v>43070</v>
      </c>
      <c r="C136" s="434">
        <v>6000</v>
      </c>
      <c r="D136" s="656">
        <v>16.002800000000001</v>
      </c>
      <c r="E136" s="39">
        <v>15.08</v>
      </c>
      <c r="F136" s="39">
        <f t="shared" si="73"/>
        <v>-5536.8000000000029</v>
      </c>
      <c r="G136" s="39">
        <f t="shared" si="74"/>
        <v>96016.8</v>
      </c>
      <c r="H136" s="226">
        <f t="shared" si="75"/>
        <v>-5.7664908640987854E-2</v>
      </c>
      <c r="I136" s="39"/>
      <c r="J136" s="39"/>
      <c r="K136" s="39">
        <v>9079</v>
      </c>
      <c r="L136" s="39"/>
    </row>
    <row r="137" spans="1:12" x14ac:dyDescent="0.25">
      <c r="A137">
        <v>5200</v>
      </c>
      <c r="B137" s="153">
        <v>43081</v>
      </c>
      <c r="C137" s="434">
        <v>6000</v>
      </c>
      <c r="D137" s="656">
        <v>15.955</v>
      </c>
      <c r="E137" s="39">
        <v>15.18</v>
      </c>
      <c r="F137" s="39">
        <f t="shared" si="73"/>
        <v>-4650.0000000000018</v>
      </c>
      <c r="G137" s="39">
        <f t="shared" si="74"/>
        <v>95730</v>
      </c>
      <c r="H137" s="226">
        <f t="shared" si="75"/>
        <v>-4.8574114697586983E-2</v>
      </c>
      <c r="I137" s="197" t="s">
        <v>818</v>
      </c>
      <c r="J137" s="39">
        <v>56.3</v>
      </c>
      <c r="K137" s="39">
        <v>9964</v>
      </c>
      <c r="L137" s="39"/>
    </row>
    <row r="138" spans="1:12" x14ac:dyDescent="0.25">
      <c r="B138" s="153">
        <v>43087</v>
      </c>
      <c r="C138" s="10">
        <v>5800</v>
      </c>
      <c r="D138" s="237">
        <v>15.977</v>
      </c>
      <c r="E138" s="39">
        <v>15.33</v>
      </c>
      <c r="F138" s="39">
        <f t="shared" si="73"/>
        <v>-3752.6000000000013</v>
      </c>
      <c r="G138" s="39">
        <f t="shared" si="74"/>
        <v>92666.6</v>
      </c>
      <c r="H138" s="226">
        <f t="shared" si="75"/>
        <v>-4.0495712586843605E-2</v>
      </c>
      <c r="I138" s="39"/>
      <c r="J138" s="39"/>
      <c r="K138" s="39">
        <v>10864</v>
      </c>
      <c r="L138" s="39"/>
    </row>
    <row r="139" spans="1:12" x14ac:dyDescent="0.25">
      <c r="A139">
        <v>5200</v>
      </c>
      <c r="B139" s="153">
        <v>43087</v>
      </c>
      <c r="C139" s="10">
        <v>5700</v>
      </c>
      <c r="D139" s="237">
        <v>15.986000000000001</v>
      </c>
      <c r="E139" s="39">
        <v>15.44</v>
      </c>
      <c r="F139" s="39">
        <f t="shared" si="73"/>
        <v>-3112.2000000000066</v>
      </c>
      <c r="G139" s="39">
        <f t="shared" si="74"/>
        <v>91120.2</v>
      </c>
      <c r="H139" s="226">
        <f t="shared" si="75"/>
        <v>-3.4154885524834304E-2</v>
      </c>
      <c r="I139" s="39"/>
      <c r="J139" s="39"/>
      <c r="K139" s="39">
        <v>11502</v>
      </c>
      <c r="L139" s="39"/>
    </row>
    <row r="140" spans="1:12" ht="15" customHeight="1" x14ac:dyDescent="0.25">
      <c r="A140">
        <v>5100</v>
      </c>
      <c r="B140" s="153">
        <v>43088</v>
      </c>
      <c r="C140" s="10">
        <v>5600</v>
      </c>
      <c r="D140" s="237">
        <v>15.986000000000001</v>
      </c>
      <c r="E140" s="39">
        <v>16.02</v>
      </c>
      <c r="F140" s="39">
        <f t="shared" ref="F140:F143" si="76">C140*(E140-D140)</f>
        <v>190.39999999999395</v>
      </c>
      <c r="G140" s="39">
        <f t="shared" ref="G140:G143" si="77">D140*C140</f>
        <v>89521.600000000006</v>
      </c>
      <c r="H140" s="226">
        <f t="shared" ref="H140:H143" si="78">(E140-D140)/D140</f>
        <v>2.1268610033778881E-3</v>
      </c>
      <c r="I140" s="39"/>
      <c r="J140" s="39">
        <v>66</v>
      </c>
      <c r="K140" s="39">
        <v>14803</v>
      </c>
      <c r="L140" s="39"/>
    </row>
    <row r="141" spans="1:12" x14ac:dyDescent="0.25">
      <c r="B141" s="153">
        <v>43089</v>
      </c>
      <c r="C141" s="10">
        <v>5500</v>
      </c>
      <c r="D141" s="237">
        <v>15.981</v>
      </c>
      <c r="E141" s="39">
        <v>16.32</v>
      </c>
      <c r="F141" s="39">
        <f t="shared" si="76"/>
        <v>1864.5000000000023</v>
      </c>
      <c r="G141" s="39">
        <f t="shared" si="77"/>
        <v>87895.5</v>
      </c>
      <c r="H141" s="226">
        <f t="shared" si="78"/>
        <v>2.1212690069457505E-2</v>
      </c>
      <c r="I141" s="39"/>
      <c r="J141" s="39"/>
      <c r="K141" s="39">
        <v>16478</v>
      </c>
      <c r="L141" s="39"/>
    </row>
    <row r="142" spans="1:12" x14ac:dyDescent="0.25">
      <c r="B142" s="153">
        <v>43090</v>
      </c>
      <c r="C142" s="10">
        <v>5000</v>
      </c>
      <c r="D142" s="237">
        <v>15.917999999999999</v>
      </c>
      <c r="E142" s="39">
        <v>16.8</v>
      </c>
      <c r="F142" s="39">
        <f t="shared" si="76"/>
        <v>4410.0000000000073</v>
      </c>
      <c r="G142" s="39">
        <f t="shared" si="77"/>
        <v>79590</v>
      </c>
      <c r="H142" s="226">
        <f t="shared" si="78"/>
        <v>5.5408970976253392E-2</v>
      </c>
      <c r="I142" s="39"/>
      <c r="J142" s="39"/>
      <c r="K142" s="39">
        <v>18624</v>
      </c>
      <c r="L142" s="39"/>
    </row>
    <row r="143" spans="1:12" x14ac:dyDescent="0.25">
      <c r="A143">
        <v>4500</v>
      </c>
      <c r="B143" s="153">
        <v>43090</v>
      </c>
      <c r="C143" s="10">
        <v>4800</v>
      </c>
      <c r="D143" s="237">
        <v>15.877000000000001</v>
      </c>
      <c r="E143" s="39">
        <v>17.05</v>
      </c>
      <c r="F143" s="39">
        <f t="shared" si="76"/>
        <v>5630.4000000000005</v>
      </c>
      <c r="G143" s="39">
        <f t="shared" si="77"/>
        <v>76209.600000000006</v>
      </c>
      <c r="H143" s="226">
        <f t="shared" si="78"/>
        <v>7.3880456005542605E-2</v>
      </c>
      <c r="I143" s="39"/>
      <c r="J143" s="39"/>
      <c r="K143" s="39">
        <v>20244</v>
      </c>
      <c r="L143" s="39"/>
    </row>
    <row r="144" spans="1:12" x14ac:dyDescent="0.25">
      <c r="A144">
        <v>4700</v>
      </c>
      <c r="B144" s="153">
        <v>43096</v>
      </c>
      <c r="C144" s="10">
        <v>4800</v>
      </c>
      <c r="D144" s="237">
        <v>15.877000000000001</v>
      </c>
      <c r="E144" s="39">
        <v>17.010000000000002</v>
      </c>
      <c r="F144" s="39">
        <f t="shared" ref="F144:F145" si="79">C144*(E144-D144)</f>
        <v>5438.4000000000042</v>
      </c>
      <c r="G144" s="39">
        <f t="shared" ref="G144:G145" si="80">D144*C144</f>
        <v>76209.600000000006</v>
      </c>
      <c r="H144" s="226">
        <f t="shared" ref="H144:H145" si="81">(E144-D144)/D144</f>
        <v>7.136108836681998E-2</v>
      </c>
      <c r="I144" s="39"/>
      <c r="J144" s="39">
        <v>69.88</v>
      </c>
      <c r="K144" s="39">
        <v>20245</v>
      </c>
      <c r="L144" s="39"/>
    </row>
    <row r="145" spans="1:12" x14ac:dyDescent="0.25">
      <c r="A145">
        <v>4700</v>
      </c>
      <c r="B145" s="153">
        <v>43102</v>
      </c>
      <c r="C145" s="10">
        <v>4700</v>
      </c>
      <c r="D145" s="237">
        <v>15.84563</v>
      </c>
      <c r="E145" s="39">
        <v>17.38</v>
      </c>
      <c r="F145" s="39">
        <f t="shared" si="79"/>
        <v>7211.5389999999961</v>
      </c>
      <c r="G145" s="39">
        <f t="shared" si="80"/>
        <v>74474.460999999996</v>
      </c>
      <c r="H145" s="226">
        <f t="shared" si="81"/>
        <v>9.6832375866406015E-2</v>
      </c>
      <c r="I145" s="39"/>
      <c r="J145" s="39"/>
      <c r="K145" s="39">
        <v>21827</v>
      </c>
      <c r="L145" s="39"/>
    </row>
    <row r="146" spans="1:12" x14ac:dyDescent="0.25">
      <c r="A146">
        <v>4700</v>
      </c>
      <c r="B146" s="153">
        <v>43103</v>
      </c>
      <c r="C146" s="10">
        <v>4700</v>
      </c>
      <c r="D146" s="237">
        <v>15.84563</v>
      </c>
      <c r="E146" s="39">
        <v>17.670000000000002</v>
      </c>
      <c r="F146" s="39">
        <f t="shared" ref="F146:F147" si="82">C146*(E146-D146)</f>
        <v>8574.5390000000079</v>
      </c>
      <c r="G146" s="39">
        <f t="shared" ref="G146:G147" si="83">D146*C146</f>
        <v>74474.460999999996</v>
      </c>
      <c r="H146" s="226">
        <f t="shared" ref="H146:H147" si="84">(E146-D146)/D146</f>
        <v>0.11513395175830825</v>
      </c>
      <c r="I146" s="39"/>
      <c r="J146" s="39">
        <v>73</v>
      </c>
      <c r="K146" s="39">
        <v>23190</v>
      </c>
      <c r="L146" s="39"/>
    </row>
    <row r="147" spans="1:12" x14ac:dyDescent="0.25">
      <c r="A147">
        <v>4600</v>
      </c>
      <c r="B147" s="153">
        <v>43104</v>
      </c>
      <c r="C147" s="10">
        <v>4600</v>
      </c>
      <c r="D147" s="237">
        <v>15.8</v>
      </c>
      <c r="E147" s="39">
        <v>18.12</v>
      </c>
      <c r="F147" s="39">
        <f t="shared" si="82"/>
        <v>10672.000000000002</v>
      </c>
      <c r="G147" s="39">
        <f t="shared" si="83"/>
        <v>72680</v>
      </c>
      <c r="H147" s="226">
        <f t="shared" si="84"/>
        <v>0.14683544303797469</v>
      </c>
      <c r="I147" s="39"/>
      <c r="J147" s="39"/>
      <c r="K147" s="39">
        <v>25283</v>
      </c>
      <c r="L147" s="39"/>
    </row>
    <row r="148" spans="1:12" x14ac:dyDescent="0.25">
      <c r="A148">
        <v>4600</v>
      </c>
      <c r="B148" s="153">
        <v>43105</v>
      </c>
      <c r="C148" s="10">
        <v>4600</v>
      </c>
      <c r="D148" s="237">
        <v>15.8</v>
      </c>
      <c r="E148" s="39">
        <v>17.89</v>
      </c>
      <c r="F148" s="39">
        <f t="shared" ref="F148" si="85">C148*(E148-D148)</f>
        <v>9614</v>
      </c>
      <c r="G148" s="39">
        <f t="shared" ref="G148" si="86">D148*C148</f>
        <v>72680</v>
      </c>
      <c r="H148" s="226">
        <f t="shared" ref="H148" si="87">(E148-D148)/D148</f>
        <v>0.13227848101265821</v>
      </c>
      <c r="I148" s="39"/>
      <c r="J148" s="39">
        <v>59.81</v>
      </c>
      <c r="K148" s="39">
        <v>24225</v>
      </c>
      <c r="L148" s="39"/>
    </row>
    <row r="149" spans="1:12" x14ac:dyDescent="0.25">
      <c r="A149">
        <v>4600</v>
      </c>
      <c r="B149" s="153">
        <v>43109</v>
      </c>
      <c r="C149" s="10">
        <v>4600</v>
      </c>
      <c r="D149" s="237">
        <v>15.8</v>
      </c>
      <c r="E149" s="39">
        <v>18.05</v>
      </c>
      <c r="F149" s="39">
        <f t="shared" ref="F149:F156" si="88">C149*(E149-D149)</f>
        <v>10350</v>
      </c>
      <c r="G149" s="39">
        <f t="shared" ref="G149:G156" si="89">D149*C149</f>
        <v>72680</v>
      </c>
      <c r="H149" s="226">
        <f t="shared" ref="H149:H156" si="90">(E149-D149)/D149</f>
        <v>0.14240506329113922</v>
      </c>
      <c r="I149" s="39"/>
      <c r="J149" s="39">
        <v>73.349999999999994</v>
      </c>
      <c r="K149" s="39">
        <v>24961</v>
      </c>
      <c r="L149" s="39"/>
    </row>
    <row r="150" spans="1:12" x14ac:dyDescent="0.25">
      <c r="A150">
        <v>4233</v>
      </c>
      <c r="B150" s="153">
        <v>43111</v>
      </c>
      <c r="C150" s="10">
        <v>4233</v>
      </c>
      <c r="D150" s="237">
        <v>15.564</v>
      </c>
      <c r="E150" s="39">
        <v>18.600000000000001</v>
      </c>
      <c r="F150" s="39">
        <f t="shared" si="88"/>
        <v>12851.388000000006</v>
      </c>
      <c r="G150" s="39">
        <f t="shared" si="89"/>
        <v>65882.411999999997</v>
      </c>
      <c r="H150" s="226">
        <f t="shared" si="90"/>
        <v>0.19506553585196615</v>
      </c>
      <c r="I150" s="39"/>
      <c r="J150" s="39"/>
      <c r="K150" s="39">
        <v>27465</v>
      </c>
      <c r="L150" s="39"/>
    </row>
    <row r="151" spans="1:12" x14ac:dyDescent="0.25">
      <c r="A151">
        <v>4100</v>
      </c>
      <c r="B151" s="153">
        <v>43112</v>
      </c>
      <c r="C151" s="10">
        <v>4100</v>
      </c>
      <c r="D151" s="237">
        <v>15.455299999999999</v>
      </c>
      <c r="E151" s="39">
        <v>18.82</v>
      </c>
      <c r="F151" s="39">
        <f t="shared" si="88"/>
        <v>13795.270000000004</v>
      </c>
      <c r="G151" s="39">
        <f t="shared" si="89"/>
        <v>63366.729999999996</v>
      </c>
      <c r="H151" s="226">
        <f t="shared" si="90"/>
        <v>0.21770525321410786</v>
      </c>
      <c r="I151" s="39"/>
      <c r="J151" s="39">
        <v>76.94</v>
      </c>
      <c r="K151" s="39">
        <v>28411</v>
      </c>
      <c r="L151" s="39"/>
    </row>
    <row r="152" spans="1:12" x14ac:dyDescent="0.25">
      <c r="A152">
        <v>4100</v>
      </c>
      <c r="B152" s="153">
        <v>43116</v>
      </c>
      <c r="C152" s="10">
        <v>4300</v>
      </c>
      <c r="D152" s="237">
        <v>15.59</v>
      </c>
      <c r="E152" s="39">
        <v>18.239999999999998</v>
      </c>
      <c r="F152" s="39">
        <f t="shared" si="88"/>
        <v>11394.999999999995</v>
      </c>
      <c r="G152" s="39">
        <f t="shared" si="89"/>
        <v>67037</v>
      </c>
      <c r="H152" s="226">
        <f t="shared" si="90"/>
        <v>0.1699807568954457</v>
      </c>
      <c r="I152" s="39"/>
      <c r="J152" s="39"/>
      <c r="K152" s="39">
        <v>26011</v>
      </c>
      <c r="L152" s="39"/>
    </row>
    <row r="153" spans="1:12" x14ac:dyDescent="0.25">
      <c r="A153">
        <v>4100</v>
      </c>
      <c r="B153" s="153">
        <v>43116</v>
      </c>
      <c r="C153" s="10">
        <v>4500</v>
      </c>
      <c r="D153" s="237">
        <v>15.708</v>
      </c>
      <c r="E153" s="39">
        <v>18.239999999999998</v>
      </c>
      <c r="F153" s="39">
        <f t="shared" si="88"/>
        <v>11393.999999999993</v>
      </c>
      <c r="G153" s="39">
        <f t="shared" si="89"/>
        <v>70686</v>
      </c>
      <c r="H153" s="226">
        <f t="shared" si="90"/>
        <v>0.16119174942704342</v>
      </c>
      <c r="I153" s="39"/>
      <c r="J153" s="39"/>
      <c r="K153" s="39">
        <v>26011</v>
      </c>
      <c r="L153" s="39"/>
    </row>
    <row r="154" spans="1:12" ht="15" customHeight="1" x14ac:dyDescent="0.25">
      <c r="B154" s="153">
        <v>43117</v>
      </c>
      <c r="C154" s="10">
        <v>4100</v>
      </c>
      <c r="D154" s="237">
        <v>15.41</v>
      </c>
      <c r="E154" s="39">
        <v>18.600000000000001</v>
      </c>
      <c r="F154" s="39">
        <f t="shared" si="88"/>
        <v>13079.000000000005</v>
      </c>
      <c r="G154" s="39">
        <f t="shared" si="89"/>
        <v>63181</v>
      </c>
      <c r="H154" s="226">
        <f t="shared" si="90"/>
        <v>0.20700843608046732</v>
      </c>
      <c r="I154" s="39"/>
      <c r="J154" s="39"/>
      <c r="K154" s="39">
        <v>27692</v>
      </c>
      <c r="L154" s="39"/>
    </row>
    <row r="155" spans="1:12" x14ac:dyDescent="0.25">
      <c r="A155">
        <v>3500</v>
      </c>
      <c r="B155" s="153">
        <v>43117</v>
      </c>
      <c r="C155" s="10">
        <v>4000</v>
      </c>
      <c r="D155" s="237">
        <v>15.321</v>
      </c>
      <c r="E155" s="39">
        <v>18.989999999999998</v>
      </c>
      <c r="F155" s="39">
        <f t="shared" si="88"/>
        <v>14675.999999999995</v>
      </c>
      <c r="G155" s="39">
        <f t="shared" si="89"/>
        <v>61284</v>
      </c>
      <c r="H155" s="226">
        <f t="shared" si="90"/>
        <v>0.2394752300763657</v>
      </c>
      <c r="I155" s="39"/>
      <c r="J155" s="39">
        <v>66.36</v>
      </c>
      <c r="K155" s="39">
        <v>29291</v>
      </c>
      <c r="L155" s="39"/>
    </row>
    <row r="156" spans="1:12" x14ac:dyDescent="0.25">
      <c r="A156">
        <v>3300</v>
      </c>
      <c r="B156" s="153">
        <v>43123</v>
      </c>
      <c r="C156" s="7">
        <v>4000</v>
      </c>
      <c r="D156" s="431">
        <v>15.303000000000001</v>
      </c>
      <c r="E156" s="39">
        <v>19.22</v>
      </c>
      <c r="F156" s="39">
        <f t="shared" si="88"/>
        <v>15667.999999999993</v>
      </c>
      <c r="G156" s="39">
        <f t="shared" si="89"/>
        <v>61212</v>
      </c>
      <c r="H156" s="226">
        <f t="shared" si="90"/>
        <v>0.25596288309481785</v>
      </c>
      <c r="I156" s="39"/>
      <c r="J156" s="39">
        <v>70.61</v>
      </c>
      <c r="K156" s="39">
        <v>30285</v>
      </c>
      <c r="L156" s="39"/>
    </row>
    <row r="157" spans="1:12" x14ac:dyDescent="0.25">
      <c r="A157">
        <v>3300</v>
      </c>
      <c r="B157" s="153">
        <v>43125</v>
      </c>
      <c r="C157" s="10">
        <v>4100</v>
      </c>
      <c r="D157" s="237">
        <v>15.39</v>
      </c>
      <c r="E157" s="39">
        <v>18.68</v>
      </c>
      <c r="F157" s="39">
        <f t="shared" ref="F157" si="91">C157*(E157-D157)</f>
        <v>13488.999999999996</v>
      </c>
      <c r="G157" s="39">
        <f t="shared" ref="G157" si="92">D157*C157</f>
        <v>63099</v>
      </c>
      <c r="H157" s="226">
        <f t="shared" ref="H157" si="93">(E157-D157)/D157</f>
        <v>0.21377517868745932</v>
      </c>
      <c r="I157" s="39"/>
      <c r="J157" s="39"/>
      <c r="K157" s="39">
        <v>28105</v>
      </c>
      <c r="L157" s="39"/>
    </row>
    <row r="158" spans="1:12" x14ac:dyDescent="0.25">
      <c r="A158">
        <v>3300</v>
      </c>
      <c r="B158" s="153">
        <v>43126</v>
      </c>
      <c r="C158" s="10">
        <v>4100</v>
      </c>
      <c r="D158" s="237">
        <v>15.39</v>
      </c>
      <c r="E158" s="39">
        <v>18.84</v>
      </c>
      <c r="F158" s="39">
        <f t="shared" ref="F158:F171" si="94">C158*(E158-D158)</f>
        <v>14144.999999999996</v>
      </c>
      <c r="G158" s="39">
        <f t="shared" ref="G158:G171" si="95">D158*C158</f>
        <v>63099</v>
      </c>
      <c r="H158" s="226">
        <f t="shared" ref="H158:H171" si="96">(E158-D158)/D158</f>
        <v>0.22417153996101358</v>
      </c>
      <c r="I158" s="39"/>
      <c r="J158" s="39">
        <v>62.61</v>
      </c>
      <c r="K158" s="39">
        <v>28106</v>
      </c>
      <c r="L158" s="39"/>
    </row>
    <row r="159" spans="1:12" x14ac:dyDescent="0.25">
      <c r="A159">
        <v>3300</v>
      </c>
      <c r="B159" s="153">
        <v>43130</v>
      </c>
      <c r="C159" s="10">
        <v>4800</v>
      </c>
      <c r="D159" s="237">
        <v>15.803000000000001</v>
      </c>
      <c r="E159" s="39">
        <v>18.059999999999999</v>
      </c>
      <c r="F159" s="39">
        <f t="shared" si="94"/>
        <v>10833.599999999989</v>
      </c>
      <c r="G159" s="39">
        <f t="shared" si="95"/>
        <v>75854.400000000009</v>
      </c>
      <c r="H159" s="226">
        <f t="shared" si="96"/>
        <v>0.14282098335759019</v>
      </c>
      <c r="I159" s="39"/>
      <c r="J159" s="39"/>
      <c r="K159" s="39">
        <v>25451</v>
      </c>
      <c r="L159" s="39"/>
    </row>
    <row r="160" spans="1:12" x14ac:dyDescent="0.25">
      <c r="A160">
        <v>3300</v>
      </c>
      <c r="B160" s="153">
        <v>43133</v>
      </c>
      <c r="C160" s="10">
        <v>5000</v>
      </c>
      <c r="D160" s="237">
        <v>15.874000000000001</v>
      </c>
      <c r="E160" s="39">
        <v>17.52</v>
      </c>
      <c r="F160" s="39">
        <f t="shared" si="94"/>
        <v>8229.9999999999945</v>
      </c>
      <c r="G160" s="39">
        <f t="shared" si="95"/>
        <v>79370</v>
      </c>
      <c r="H160" s="226">
        <f t="shared" si="96"/>
        <v>0.10369157112259034</v>
      </c>
      <c r="I160" s="39"/>
      <c r="J160" s="39"/>
      <c r="K160" s="39">
        <v>22847</v>
      </c>
      <c r="L160" s="39"/>
    </row>
    <row r="161" spans="1:26" x14ac:dyDescent="0.25">
      <c r="A161">
        <v>3300</v>
      </c>
      <c r="B161" s="153">
        <v>43139</v>
      </c>
      <c r="C161" s="10">
        <v>5500</v>
      </c>
      <c r="D161" s="237">
        <v>15.87</v>
      </c>
      <c r="E161" s="39">
        <v>15.68</v>
      </c>
      <c r="F161" s="39">
        <f t="shared" si="94"/>
        <v>-1044.9999999999973</v>
      </c>
      <c r="G161" s="39">
        <f t="shared" si="95"/>
        <v>87285</v>
      </c>
      <c r="H161" s="226">
        <f t="shared" si="96"/>
        <v>-1.1972274732199088E-2</v>
      </c>
      <c r="I161" s="39"/>
      <c r="J161" s="39">
        <v>32.950000000000003</v>
      </c>
      <c r="K161" s="39">
        <v>13547</v>
      </c>
      <c r="L161" s="39">
        <v>60.44</v>
      </c>
    </row>
    <row r="162" spans="1:26" x14ac:dyDescent="0.25">
      <c r="B162" s="153">
        <v>43140</v>
      </c>
      <c r="C162" s="10">
        <v>6000</v>
      </c>
      <c r="D162" s="237">
        <v>15.8246</v>
      </c>
      <c r="E162" s="39">
        <v>15.51</v>
      </c>
      <c r="F162" s="39">
        <f t="shared" si="94"/>
        <v>-1887.6000000000026</v>
      </c>
      <c r="G162" s="39">
        <f t="shared" si="95"/>
        <v>94947.6</v>
      </c>
      <c r="H162" s="226">
        <f t="shared" si="96"/>
        <v>-1.9880439316001697E-2</v>
      </c>
      <c r="I162" s="39"/>
      <c r="J162" s="39"/>
      <c r="K162" s="39"/>
      <c r="L162" s="39"/>
    </row>
    <row r="163" spans="1:26" x14ac:dyDescent="0.25">
      <c r="B163" s="153">
        <v>43140</v>
      </c>
      <c r="C163" s="10">
        <v>5500</v>
      </c>
      <c r="D163" s="237">
        <v>15.85</v>
      </c>
      <c r="E163" s="39">
        <v>15.51</v>
      </c>
      <c r="F163" s="39">
        <f t="shared" si="94"/>
        <v>-1869.9999999999993</v>
      </c>
      <c r="G163" s="39">
        <f t="shared" si="95"/>
        <v>87175</v>
      </c>
      <c r="H163" s="226">
        <f t="shared" si="96"/>
        <v>-2.1451104100946364E-2</v>
      </c>
      <c r="I163" s="39"/>
      <c r="J163" s="39"/>
      <c r="K163" s="39"/>
      <c r="L163" s="39"/>
    </row>
    <row r="164" spans="1:26" x14ac:dyDescent="0.25">
      <c r="B164" s="153">
        <v>43140</v>
      </c>
      <c r="C164" s="434">
        <v>6000</v>
      </c>
      <c r="D164" s="656">
        <v>15.795999999999999</v>
      </c>
      <c r="E164" s="39">
        <v>15.51</v>
      </c>
      <c r="F164" s="39">
        <f t="shared" si="94"/>
        <v>-1715.9999999999975</v>
      </c>
      <c r="G164" s="39">
        <f t="shared" si="95"/>
        <v>94776</v>
      </c>
      <c r="H164" s="226">
        <f t="shared" si="96"/>
        <v>-1.8105849582172675E-2</v>
      </c>
      <c r="I164" s="39">
        <v>15.75</v>
      </c>
      <c r="J164" s="39"/>
      <c r="K164" s="39"/>
      <c r="L164" s="39"/>
    </row>
    <row r="165" spans="1:26" x14ac:dyDescent="0.25">
      <c r="A165">
        <v>2300</v>
      </c>
      <c r="B165" s="153">
        <v>43140</v>
      </c>
      <c r="C165" s="10">
        <v>5500</v>
      </c>
      <c r="D165" s="237">
        <v>15.824999999999999</v>
      </c>
      <c r="E165" s="39">
        <v>15.51</v>
      </c>
      <c r="F165" s="39">
        <f t="shared" si="94"/>
        <v>-1732.4999999999973</v>
      </c>
      <c r="G165" s="39">
        <f t="shared" si="95"/>
        <v>87037.5</v>
      </c>
      <c r="H165" s="226">
        <f t="shared" si="96"/>
        <v>-1.990521327014215E-2</v>
      </c>
      <c r="I165" s="39"/>
      <c r="J165" s="39"/>
      <c r="K165" s="39">
        <v>12882</v>
      </c>
      <c r="L165" s="39">
        <v>59.18</v>
      </c>
    </row>
    <row r="166" spans="1:26" x14ac:dyDescent="0.25">
      <c r="A166">
        <v>1800</v>
      </c>
      <c r="B166" s="153">
        <v>43143</v>
      </c>
      <c r="C166" s="10">
        <v>5000</v>
      </c>
      <c r="D166" s="237">
        <v>15.77</v>
      </c>
      <c r="E166" s="39">
        <v>16.27</v>
      </c>
      <c r="F166" s="39">
        <f t="shared" si="94"/>
        <v>2500</v>
      </c>
      <c r="G166" s="39">
        <f t="shared" si="95"/>
        <v>78850</v>
      </c>
      <c r="H166" s="226">
        <f t="shared" si="96"/>
        <v>3.1705770450221944E-2</v>
      </c>
      <c r="I166" s="39"/>
      <c r="J166" s="39"/>
      <c r="K166" s="39">
        <v>17117</v>
      </c>
      <c r="L166" s="39"/>
    </row>
    <row r="167" spans="1:26" x14ac:dyDescent="0.25">
      <c r="A167">
        <v>800</v>
      </c>
      <c r="B167" s="153">
        <v>43146</v>
      </c>
      <c r="C167" s="10">
        <v>5000</v>
      </c>
      <c r="D167" s="237">
        <v>15.682</v>
      </c>
      <c r="E167" s="39">
        <v>16.32</v>
      </c>
      <c r="F167" s="39">
        <f t="shared" si="94"/>
        <v>3189.9999999999995</v>
      </c>
      <c r="G167" s="39">
        <f t="shared" si="95"/>
        <v>78410</v>
      </c>
      <c r="H167" s="226">
        <f t="shared" si="96"/>
        <v>4.0683586277260549E-2</v>
      </c>
      <c r="I167" s="39"/>
      <c r="J167" s="39"/>
      <c r="K167" s="39">
        <v>17807</v>
      </c>
      <c r="L167" s="39"/>
    </row>
    <row r="168" spans="1:26" x14ac:dyDescent="0.25">
      <c r="A168">
        <v>1200</v>
      </c>
      <c r="B168" s="153">
        <v>43147</v>
      </c>
      <c r="C168" s="10">
        <v>5500</v>
      </c>
      <c r="D168" s="237">
        <v>15.688000000000001</v>
      </c>
      <c r="E168" s="39">
        <v>15.69</v>
      </c>
      <c r="F168" s="39">
        <f t="shared" si="94"/>
        <v>10.999999999993904</v>
      </c>
      <c r="G168" s="39">
        <f t="shared" si="95"/>
        <v>86284</v>
      </c>
      <c r="H168" s="226">
        <f t="shared" si="96"/>
        <v>1.2748597654250966E-4</v>
      </c>
      <c r="I168" s="39"/>
      <c r="J168" s="39"/>
      <c r="K168" s="39">
        <v>14407</v>
      </c>
      <c r="L168" s="39"/>
    </row>
    <row r="169" spans="1:26" x14ac:dyDescent="0.25">
      <c r="A169">
        <v>800</v>
      </c>
      <c r="B169" s="153">
        <v>43151</v>
      </c>
      <c r="C169" s="10">
        <v>5000</v>
      </c>
      <c r="D169" s="237">
        <v>15.6388</v>
      </c>
      <c r="E169" s="39">
        <v>16.18</v>
      </c>
      <c r="F169" s="39">
        <f t="shared" si="94"/>
        <v>2705.9999999999995</v>
      </c>
      <c r="G169" s="39">
        <f t="shared" si="95"/>
        <v>78194</v>
      </c>
      <c r="H169" s="226">
        <f t="shared" si="96"/>
        <v>3.4606235772565663E-2</v>
      </c>
      <c r="I169" s="39"/>
      <c r="J169" s="39"/>
      <c r="K169" s="39">
        <v>17321</v>
      </c>
      <c r="L169" s="39"/>
      <c r="Z169" s="808"/>
    </row>
    <row r="170" spans="1:26" x14ac:dyDescent="0.25">
      <c r="A170">
        <v>800</v>
      </c>
      <c r="B170" s="153">
        <v>43151</v>
      </c>
      <c r="C170" s="10">
        <v>5500</v>
      </c>
      <c r="D170" s="237">
        <v>15.654999999999999</v>
      </c>
      <c r="E170" s="39">
        <v>15.8</v>
      </c>
      <c r="F170" s="39">
        <f t="shared" si="94"/>
        <v>797.50000000000739</v>
      </c>
      <c r="G170" s="39">
        <f t="shared" si="95"/>
        <v>86102.5</v>
      </c>
      <c r="H170" s="226">
        <f t="shared" si="96"/>
        <v>9.2622165442351554E-3</v>
      </c>
      <c r="I170" s="39"/>
      <c r="J170" s="39"/>
      <c r="K170" s="39">
        <v>15521</v>
      </c>
      <c r="L170" s="39"/>
      <c r="Z170" s="808"/>
    </row>
    <row r="171" spans="1:26" x14ac:dyDescent="0.25">
      <c r="A171">
        <v>800</v>
      </c>
      <c r="B171" s="153">
        <v>43152</v>
      </c>
      <c r="C171" s="434">
        <v>6000</v>
      </c>
      <c r="D171" s="656">
        <v>15.637</v>
      </c>
      <c r="E171" s="39">
        <v>15.3</v>
      </c>
      <c r="F171" s="39">
        <f t="shared" si="94"/>
        <v>-2021.9999999999984</v>
      </c>
      <c r="G171" s="39">
        <f t="shared" si="95"/>
        <v>93822</v>
      </c>
      <c r="H171" s="226">
        <f t="shared" si="96"/>
        <v>-2.1551448487561537E-2</v>
      </c>
      <c r="I171" s="197" t="s">
        <v>998</v>
      </c>
      <c r="J171" s="39"/>
      <c r="K171" s="39">
        <v>12591</v>
      </c>
      <c r="L171" s="39"/>
      <c r="Z171" s="808"/>
    </row>
    <row r="172" spans="1:26" x14ac:dyDescent="0.25">
      <c r="A172">
        <v>1100</v>
      </c>
      <c r="B172" s="153">
        <v>43156</v>
      </c>
      <c r="C172" s="10">
        <v>6000</v>
      </c>
      <c r="D172" s="237">
        <v>15.637</v>
      </c>
      <c r="E172" s="39">
        <v>15.54</v>
      </c>
      <c r="F172" s="39">
        <f t="shared" ref="F172:F173" si="97">C172*(E172-D172)</f>
        <v>-582.00000000000784</v>
      </c>
      <c r="G172" s="39">
        <f t="shared" ref="G172:G173" si="98">D172*C172</f>
        <v>93822</v>
      </c>
      <c r="H172" s="226">
        <f t="shared" ref="H172:H173" si="99">(E172-D172)/D172</f>
        <v>-6.2032359148175035E-3</v>
      </c>
      <c r="I172" s="197"/>
      <c r="J172" s="39"/>
      <c r="K172" s="39">
        <v>14031</v>
      </c>
      <c r="L172" s="39">
        <v>63.55</v>
      </c>
      <c r="Z172" s="809"/>
    </row>
    <row r="173" spans="1:26" x14ac:dyDescent="0.25">
      <c r="A173">
        <v>1100</v>
      </c>
      <c r="B173" s="153">
        <v>43159</v>
      </c>
      <c r="C173" s="10">
        <v>6400</v>
      </c>
      <c r="D173" s="237">
        <v>15.582000000000001</v>
      </c>
      <c r="E173" s="39">
        <v>14.52</v>
      </c>
      <c r="F173" s="39">
        <f t="shared" si="97"/>
        <v>-6796.8000000000075</v>
      </c>
      <c r="G173" s="39">
        <f t="shared" si="98"/>
        <v>99724.800000000003</v>
      </c>
      <c r="H173" s="226">
        <f t="shared" si="99"/>
        <v>-6.8155564112437506E-2</v>
      </c>
      <c r="I173" s="39">
        <v>15.5</v>
      </c>
      <c r="J173" s="39"/>
      <c r="K173" s="39">
        <v>7819</v>
      </c>
      <c r="L173" s="39"/>
      <c r="Z173" s="809"/>
    </row>
    <row r="174" spans="1:26" x14ac:dyDescent="0.25">
      <c r="B174" s="153"/>
      <c r="C174" s="10"/>
      <c r="D174" s="237"/>
      <c r="E174" s="39"/>
      <c r="F174" s="39"/>
      <c r="G174" s="39"/>
      <c r="H174" s="226"/>
      <c r="I174" s="39"/>
      <c r="J174" s="39"/>
      <c r="K174" s="39"/>
      <c r="L174" s="39"/>
      <c r="Z174" s="809"/>
    </row>
    <row r="175" spans="1:26" x14ac:dyDescent="0.25">
      <c r="B175" s="153"/>
      <c r="C175" s="10"/>
      <c r="D175" s="237"/>
      <c r="E175" s="39"/>
      <c r="F175" s="39"/>
      <c r="G175" s="39"/>
      <c r="H175" s="226"/>
      <c r="I175" s="39"/>
      <c r="J175" s="39"/>
      <c r="K175" s="39"/>
      <c r="L175" s="39"/>
    </row>
    <row r="176" spans="1:26" x14ac:dyDescent="0.25">
      <c r="B176" s="153"/>
      <c r="C176" s="10"/>
      <c r="D176" s="237"/>
      <c r="E176" s="39"/>
      <c r="F176" s="39"/>
      <c r="G176" s="39"/>
      <c r="H176" s="226"/>
      <c r="I176" s="39"/>
      <c r="J176" s="39"/>
      <c r="K176" s="39"/>
      <c r="L176" s="39"/>
    </row>
    <row r="178" spans="2:15" x14ac:dyDescent="0.25">
      <c r="B178" s="632" t="s">
        <v>113</v>
      </c>
      <c r="C178" s="497" t="s">
        <v>146</v>
      </c>
      <c r="D178" s="633" t="s">
        <v>145</v>
      </c>
      <c r="E178" s="499" t="s">
        <v>147</v>
      </c>
      <c r="F178" s="500" t="s">
        <v>65</v>
      </c>
      <c r="G178" s="501" t="s">
        <v>151</v>
      </c>
      <c r="H178" s="500" t="s">
        <v>88</v>
      </c>
      <c r="I178" s="501" t="s">
        <v>154</v>
      </c>
    </row>
    <row r="179" spans="2:15" x14ac:dyDescent="0.25">
      <c r="B179" s="634">
        <v>42305</v>
      </c>
      <c r="C179" s="370">
        <v>2000</v>
      </c>
      <c r="D179" s="635">
        <v>34.06</v>
      </c>
      <c r="E179" s="371">
        <v>17.68</v>
      </c>
      <c r="F179" s="371">
        <v>-32767.45</v>
      </c>
      <c r="G179" s="371">
        <f t="shared" ref="G179:G185" si="100">IF(C179=0, 0,D179*C179)</f>
        <v>68120</v>
      </c>
      <c r="H179" s="373">
        <f t="shared" ref="H179:H185" si="101">IF(C179=0, D179, (E179-D179)/D179)</f>
        <v>-0.48091603053435117</v>
      </c>
      <c r="I179" s="371"/>
    </row>
    <row r="180" spans="2:15" x14ac:dyDescent="0.25">
      <c r="B180" s="634">
        <v>42307</v>
      </c>
      <c r="C180" s="370">
        <v>0</v>
      </c>
      <c r="D180" s="635" t="s">
        <v>128</v>
      </c>
      <c r="E180" s="371">
        <v>17.55</v>
      </c>
      <c r="F180" s="371">
        <v>-30722.2</v>
      </c>
      <c r="G180" s="371">
        <f t="shared" si="100"/>
        <v>0</v>
      </c>
      <c r="H180" s="373" t="str">
        <f t="shared" si="101"/>
        <v>N/A</v>
      </c>
      <c r="I180" s="371"/>
    </row>
    <row r="181" spans="2:15" x14ac:dyDescent="0.25">
      <c r="B181" s="634">
        <v>42310</v>
      </c>
      <c r="C181" s="370">
        <v>0</v>
      </c>
      <c r="D181" s="635" t="s">
        <v>128</v>
      </c>
      <c r="E181" s="371">
        <v>19.010000000000002</v>
      </c>
      <c r="F181" s="371">
        <v>-30693.25</v>
      </c>
      <c r="G181" s="371">
        <f t="shared" si="100"/>
        <v>0</v>
      </c>
      <c r="H181" s="373" t="str">
        <f t="shared" si="101"/>
        <v>N/A</v>
      </c>
      <c r="I181" s="371"/>
    </row>
    <row r="182" spans="2:15" x14ac:dyDescent="0.25">
      <c r="B182" s="634">
        <v>42314</v>
      </c>
      <c r="C182" s="370">
        <v>2500</v>
      </c>
      <c r="D182" s="635">
        <v>30.24</v>
      </c>
      <c r="E182" s="371">
        <v>18.29</v>
      </c>
      <c r="F182" s="371">
        <v>-29878.25</v>
      </c>
      <c r="G182" s="371">
        <f t="shared" si="100"/>
        <v>75600</v>
      </c>
      <c r="H182" s="373">
        <f t="shared" si="101"/>
        <v>-0.39517195767195767</v>
      </c>
      <c r="I182" s="371"/>
    </row>
    <row r="183" spans="2:15" x14ac:dyDescent="0.25">
      <c r="B183" s="634">
        <v>42318</v>
      </c>
      <c r="C183" s="370">
        <v>0</v>
      </c>
      <c r="D183" s="635" t="s">
        <v>128</v>
      </c>
      <c r="E183" s="371">
        <v>18.78</v>
      </c>
      <c r="F183" s="371">
        <v>-28604.09</v>
      </c>
      <c r="G183" s="371">
        <f t="shared" si="100"/>
        <v>0</v>
      </c>
      <c r="H183" s="373" t="str">
        <f t="shared" si="101"/>
        <v>N/A</v>
      </c>
      <c r="I183" s="371"/>
    </row>
    <row r="184" spans="2:15" x14ac:dyDescent="0.25">
      <c r="B184" s="634">
        <v>42328</v>
      </c>
      <c r="C184" s="370">
        <v>3078</v>
      </c>
      <c r="D184" s="635">
        <v>26.76</v>
      </c>
      <c r="E184" s="371">
        <v>17.440000000000001</v>
      </c>
      <c r="F184" s="371">
        <v>-28696.448999999906</v>
      </c>
      <c r="G184" s="371">
        <f t="shared" si="100"/>
        <v>82367.28</v>
      </c>
      <c r="H184" s="373">
        <f t="shared" si="101"/>
        <v>-0.34828101644245141</v>
      </c>
      <c r="I184" s="371"/>
      <c r="N184" s="70"/>
    </row>
    <row r="185" spans="2:15" x14ac:dyDescent="0.25">
      <c r="B185" s="634">
        <v>42331</v>
      </c>
      <c r="C185" s="370">
        <v>0</v>
      </c>
      <c r="D185" s="635" t="s">
        <v>128</v>
      </c>
      <c r="E185" s="371">
        <v>17.53</v>
      </c>
      <c r="F185" s="371">
        <v>-28051.068999999901</v>
      </c>
      <c r="G185" s="371">
        <f t="shared" si="100"/>
        <v>0</v>
      </c>
      <c r="H185" s="373" t="str">
        <f t="shared" si="101"/>
        <v>N/A</v>
      </c>
      <c r="I185" s="371"/>
    </row>
    <row r="186" spans="2:15" x14ac:dyDescent="0.25">
      <c r="B186" s="634">
        <v>42335</v>
      </c>
      <c r="C186" s="370">
        <v>3078</v>
      </c>
      <c r="D186" s="635">
        <v>26.85</v>
      </c>
      <c r="E186" s="371">
        <v>17.73</v>
      </c>
      <c r="F186" s="371">
        <f>C186*(E186-D186)</f>
        <v>-28071.360000000004</v>
      </c>
      <c r="G186" s="371">
        <f>D186*C186</f>
        <v>82644.3</v>
      </c>
      <c r="H186" s="372">
        <f>(E186-D186)/D186</f>
        <v>-0.33966480446927377</v>
      </c>
      <c r="I186" s="371"/>
    </row>
    <row r="187" spans="2:15" x14ac:dyDescent="0.25">
      <c r="B187" s="634">
        <v>42335</v>
      </c>
      <c r="C187" s="370">
        <v>3578</v>
      </c>
      <c r="D187" s="635">
        <v>25.55</v>
      </c>
      <c r="E187" s="371">
        <v>17.440000000000001</v>
      </c>
      <c r="F187" s="371">
        <f t="shared" ref="F187:F218" si="102">C187*(E187-D187)</f>
        <v>-29017.579999999998</v>
      </c>
      <c r="G187" s="371">
        <f t="shared" ref="G187:G216" si="103">D187*C187</f>
        <v>91417.900000000009</v>
      </c>
      <c r="H187" s="372">
        <f t="shared" ref="H187:H216" si="104">(E187-D187)/D187</f>
        <v>-0.31741682974559682</v>
      </c>
      <c r="I187" s="371"/>
      <c r="O187" s="2"/>
    </row>
    <row r="188" spans="2:15" x14ac:dyDescent="0.25">
      <c r="B188" s="634">
        <v>42340</v>
      </c>
      <c r="C188" s="370">
        <v>4178</v>
      </c>
      <c r="D188" s="635">
        <v>24.29</v>
      </c>
      <c r="E188" s="371">
        <v>16.670000000000002</v>
      </c>
      <c r="F188" s="371">
        <f t="shared" si="102"/>
        <v>-31836.35999999999</v>
      </c>
      <c r="G188" s="371">
        <f t="shared" si="103"/>
        <v>101483.62</v>
      </c>
      <c r="H188" s="372">
        <f t="shared" si="104"/>
        <v>-0.31370934540963352</v>
      </c>
      <c r="I188" s="371"/>
    </row>
    <row r="189" spans="2:15" ht="15" customHeight="1" x14ac:dyDescent="0.25">
      <c r="B189" s="634">
        <v>42342</v>
      </c>
      <c r="C189" s="370">
        <v>4678</v>
      </c>
      <c r="D189" s="635">
        <v>23.39</v>
      </c>
      <c r="E189" s="371">
        <v>16.12</v>
      </c>
      <c r="F189" s="371">
        <f t="shared" si="102"/>
        <v>-34009.06</v>
      </c>
      <c r="G189" s="371">
        <f t="shared" si="103"/>
        <v>109418.42</v>
      </c>
      <c r="H189" s="372">
        <f t="shared" si="104"/>
        <v>-0.31081658828559211</v>
      </c>
      <c r="I189" s="371"/>
    </row>
    <row r="190" spans="2:15" x14ac:dyDescent="0.25">
      <c r="B190" s="634">
        <v>42342</v>
      </c>
      <c r="C190" s="370">
        <v>4178</v>
      </c>
      <c r="D190" s="635">
        <v>24.26</v>
      </c>
      <c r="E190" s="371">
        <v>16.12</v>
      </c>
      <c r="F190" s="371">
        <f t="shared" si="102"/>
        <v>-34008.920000000006</v>
      </c>
      <c r="G190" s="371">
        <f t="shared" si="103"/>
        <v>101358.28000000001</v>
      </c>
      <c r="H190" s="372">
        <f t="shared" si="104"/>
        <v>-0.33553173948887055</v>
      </c>
      <c r="I190" s="371"/>
    </row>
    <row r="191" spans="2:15" x14ac:dyDescent="0.25">
      <c r="B191" s="634">
        <v>42345</v>
      </c>
      <c r="C191" s="370">
        <v>4678</v>
      </c>
      <c r="D191" s="635">
        <v>23.24</v>
      </c>
      <c r="E191" s="371">
        <v>14.78</v>
      </c>
      <c r="F191" s="371">
        <f t="shared" si="102"/>
        <v>-39575.879999999997</v>
      </c>
      <c r="G191" s="371">
        <f t="shared" si="103"/>
        <v>108716.71999999999</v>
      </c>
      <c r="H191" s="372">
        <f t="shared" si="104"/>
        <v>-0.36402753872633387</v>
      </c>
      <c r="I191" s="371"/>
    </row>
    <row r="192" spans="2:15" x14ac:dyDescent="0.25">
      <c r="B192" s="634">
        <v>42347</v>
      </c>
      <c r="C192" s="370">
        <v>4778</v>
      </c>
      <c r="D192" s="635">
        <v>23.06</v>
      </c>
      <c r="E192" s="371">
        <v>14.92</v>
      </c>
      <c r="F192" s="371">
        <f t="shared" si="102"/>
        <v>-38892.919999999991</v>
      </c>
      <c r="G192" s="371">
        <f t="shared" si="103"/>
        <v>110180.68</v>
      </c>
      <c r="H192" s="372">
        <f t="shared" si="104"/>
        <v>-0.3529921942758022</v>
      </c>
      <c r="I192" s="371"/>
    </row>
    <row r="193" spans="2:9" x14ac:dyDescent="0.25">
      <c r="B193" s="634">
        <v>42348</v>
      </c>
      <c r="C193" s="370">
        <v>4178</v>
      </c>
      <c r="D193" s="635">
        <v>24.23</v>
      </c>
      <c r="E193" s="371">
        <v>14.74</v>
      </c>
      <c r="F193" s="371">
        <f t="shared" si="102"/>
        <v>-39649.22</v>
      </c>
      <c r="G193" s="371">
        <f t="shared" si="103"/>
        <v>101232.94</v>
      </c>
      <c r="H193" s="372">
        <f t="shared" si="104"/>
        <v>-0.39166322740404458</v>
      </c>
      <c r="I193" s="371"/>
    </row>
    <row r="194" spans="2:9" x14ac:dyDescent="0.25">
      <c r="B194" s="634">
        <v>42349</v>
      </c>
      <c r="C194" s="370">
        <v>3678</v>
      </c>
      <c r="D194" s="635">
        <v>25.57</v>
      </c>
      <c r="E194" s="371">
        <v>14.34</v>
      </c>
      <c r="F194" s="371">
        <f t="shared" si="102"/>
        <v>-41303.94</v>
      </c>
      <c r="G194" s="371">
        <f t="shared" si="103"/>
        <v>94046.46</v>
      </c>
      <c r="H194" s="372">
        <f t="shared" si="104"/>
        <v>-0.43918654673445445</v>
      </c>
      <c r="I194" s="371"/>
    </row>
    <row r="195" spans="2:9" x14ac:dyDescent="0.25">
      <c r="B195" s="634">
        <v>42352</v>
      </c>
      <c r="C195" s="370">
        <v>4178</v>
      </c>
      <c r="D195" s="635">
        <v>24.18</v>
      </c>
      <c r="E195" s="371">
        <v>13.96</v>
      </c>
      <c r="F195" s="371">
        <f t="shared" si="102"/>
        <v>-42699.159999999996</v>
      </c>
      <c r="G195" s="371">
        <f t="shared" si="103"/>
        <v>101024.04</v>
      </c>
      <c r="H195" s="372">
        <f t="shared" si="104"/>
        <v>-0.42266335814722905</v>
      </c>
      <c r="I195" s="371"/>
    </row>
    <row r="196" spans="2:9" x14ac:dyDescent="0.25">
      <c r="B196" s="634">
        <v>42355</v>
      </c>
      <c r="C196" s="370">
        <v>4678</v>
      </c>
      <c r="D196" s="635">
        <v>22.98</v>
      </c>
      <c r="E196" s="371">
        <v>12.78</v>
      </c>
      <c r="F196" s="371">
        <f t="shared" si="102"/>
        <v>-47715.600000000006</v>
      </c>
      <c r="G196" s="371">
        <f t="shared" si="103"/>
        <v>107500.44</v>
      </c>
      <c r="H196" s="372">
        <f t="shared" si="104"/>
        <v>-0.44386422976501311</v>
      </c>
      <c r="I196" s="371"/>
    </row>
    <row r="197" spans="2:9" x14ac:dyDescent="0.25">
      <c r="B197" s="634">
        <v>42356</v>
      </c>
      <c r="C197" s="370">
        <v>5178</v>
      </c>
      <c r="D197" s="635">
        <v>21.99</v>
      </c>
      <c r="E197" s="371">
        <v>12.95</v>
      </c>
      <c r="F197" s="371">
        <f t="shared" si="102"/>
        <v>-46809.119999999995</v>
      </c>
      <c r="G197" s="371">
        <f t="shared" si="103"/>
        <v>113864.21999999999</v>
      </c>
      <c r="H197" s="372">
        <f t="shared" si="104"/>
        <v>-0.41109595270577537</v>
      </c>
      <c r="I197" s="371"/>
    </row>
    <row r="198" spans="2:9" x14ac:dyDescent="0.25">
      <c r="B198" s="634">
        <v>42356</v>
      </c>
      <c r="C198" s="370">
        <v>6178</v>
      </c>
      <c r="D198" s="635">
        <v>20.48</v>
      </c>
      <c r="E198" s="371">
        <v>12.76</v>
      </c>
      <c r="F198" s="371">
        <f t="shared" si="102"/>
        <v>-47694.16</v>
      </c>
      <c r="G198" s="371">
        <f t="shared" si="103"/>
        <v>126525.44</v>
      </c>
      <c r="H198" s="372">
        <f t="shared" si="104"/>
        <v>-0.376953125</v>
      </c>
      <c r="I198" s="371"/>
    </row>
    <row r="199" spans="2:9" x14ac:dyDescent="0.25">
      <c r="B199" s="634">
        <v>42356</v>
      </c>
      <c r="C199" s="370">
        <v>6400</v>
      </c>
      <c r="D199" s="635">
        <v>20.2</v>
      </c>
      <c r="E199" s="371">
        <v>12.68</v>
      </c>
      <c r="F199" s="371">
        <f t="shared" si="102"/>
        <v>-48128</v>
      </c>
      <c r="G199" s="371">
        <f t="shared" si="103"/>
        <v>129280</v>
      </c>
      <c r="H199" s="372">
        <f t="shared" si="104"/>
        <v>-0.37227722772277227</v>
      </c>
      <c r="I199" s="371"/>
    </row>
    <row r="200" spans="2:9" x14ac:dyDescent="0.25">
      <c r="B200" s="634">
        <v>42359</v>
      </c>
      <c r="C200" s="370">
        <v>5178</v>
      </c>
      <c r="D200" s="635">
        <v>21.96</v>
      </c>
      <c r="E200" s="371">
        <v>12.66</v>
      </c>
      <c r="F200" s="371">
        <f t="shared" si="102"/>
        <v>-48155.4</v>
      </c>
      <c r="G200" s="371">
        <f t="shared" si="103"/>
        <v>113708.88</v>
      </c>
      <c r="H200" s="372">
        <f t="shared" si="104"/>
        <v>-0.42349726775956287</v>
      </c>
      <c r="I200" s="371"/>
    </row>
    <row r="201" spans="2:9" x14ac:dyDescent="0.25">
      <c r="B201" s="634">
        <v>42361</v>
      </c>
      <c r="C201" s="370">
        <v>4178</v>
      </c>
      <c r="D201" s="635">
        <v>24.07</v>
      </c>
      <c r="E201" s="371">
        <v>13.96</v>
      </c>
      <c r="F201" s="371">
        <f t="shared" si="102"/>
        <v>-42239.579999999994</v>
      </c>
      <c r="G201" s="371">
        <f t="shared" si="103"/>
        <v>100564.46</v>
      </c>
      <c r="H201" s="372">
        <f t="shared" si="104"/>
        <v>-0.42002492729538843</v>
      </c>
      <c r="I201" s="371"/>
    </row>
    <row r="202" spans="2:9" x14ac:dyDescent="0.25">
      <c r="B202" s="634">
        <v>42361</v>
      </c>
      <c r="C202" s="370">
        <v>4178</v>
      </c>
      <c r="D202" s="635">
        <v>24.03</v>
      </c>
      <c r="E202" s="371">
        <v>13.96</v>
      </c>
      <c r="F202" s="371">
        <f t="shared" si="102"/>
        <v>-42072.46</v>
      </c>
      <c r="G202" s="371">
        <f t="shared" si="103"/>
        <v>100397.34000000001</v>
      </c>
      <c r="H202" s="372">
        <f t="shared" si="104"/>
        <v>-0.41905950894714938</v>
      </c>
      <c r="I202" s="371"/>
    </row>
    <row r="203" spans="2:9" x14ac:dyDescent="0.25">
      <c r="B203" s="634">
        <v>42366</v>
      </c>
      <c r="C203" s="391">
        <v>6678</v>
      </c>
      <c r="D203" s="636">
        <v>19.91</v>
      </c>
      <c r="E203" s="371">
        <v>13.09</v>
      </c>
      <c r="F203" s="371">
        <f t="shared" si="102"/>
        <v>-45543.96</v>
      </c>
      <c r="G203" s="371">
        <f t="shared" si="103"/>
        <v>132958.98000000001</v>
      </c>
      <c r="H203" s="372">
        <f t="shared" si="104"/>
        <v>-0.34254143646408841</v>
      </c>
      <c r="I203" s="371"/>
    </row>
    <row r="204" spans="2:9" x14ac:dyDescent="0.25">
      <c r="B204" s="634">
        <v>42367</v>
      </c>
      <c r="C204" s="391">
        <v>8678</v>
      </c>
      <c r="D204" s="636">
        <v>18.32</v>
      </c>
      <c r="E204" s="371">
        <v>13.03</v>
      </c>
      <c r="F204" s="371">
        <f t="shared" si="102"/>
        <v>-45906.62000000001</v>
      </c>
      <c r="G204" s="371">
        <f t="shared" si="103"/>
        <v>158980.96</v>
      </c>
      <c r="H204" s="372">
        <f t="shared" si="104"/>
        <v>-0.28875545851528389</v>
      </c>
      <c r="I204" s="371"/>
    </row>
    <row r="205" spans="2:9" x14ac:dyDescent="0.25">
      <c r="B205" s="634">
        <v>42368</v>
      </c>
      <c r="C205" s="370">
        <v>9678</v>
      </c>
      <c r="D205" s="635">
        <v>17.73</v>
      </c>
      <c r="E205" s="371">
        <v>12.38</v>
      </c>
      <c r="F205" s="371">
        <f t="shared" si="102"/>
        <v>-51777.299999999996</v>
      </c>
      <c r="G205" s="371">
        <f t="shared" si="103"/>
        <v>171590.94</v>
      </c>
      <c r="H205" s="373">
        <f t="shared" si="104"/>
        <v>-0.30174844895657077</v>
      </c>
      <c r="I205" s="371"/>
    </row>
    <row r="206" spans="2:9" x14ac:dyDescent="0.25">
      <c r="B206" s="634">
        <v>42369</v>
      </c>
      <c r="C206" s="370">
        <v>8678</v>
      </c>
      <c r="D206" s="635">
        <v>18.312999999999999</v>
      </c>
      <c r="E206" s="371">
        <v>12.59</v>
      </c>
      <c r="F206" s="371">
        <f t="shared" si="102"/>
        <v>-49664.193999999989</v>
      </c>
      <c r="G206" s="371">
        <f t="shared" si="103"/>
        <v>158920.21399999998</v>
      </c>
      <c r="H206" s="373">
        <f t="shared" si="104"/>
        <v>-0.3125102386282968</v>
      </c>
      <c r="I206" s="371"/>
    </row>
    <row r="207" spans="2:9" x14ac:dyDescent="0.25">
      <c r="B207" s="634">
        <v>42374</v>
      </c>
      <c r="C207" s="370">
        <v>7678</v>
      </c>
      <c r="D207" s="635">
        <v>19.010000000000002</v>
      </c>
      <c r="E207" s="371">
        <v>12.76</v>
      </c>
      <c r="F207" s="371">
        <f t="shared" si="102"/>
        <v>-47987.500000000015</v>
      </c>
      <c r="G207" s="371">
        <f t="shared" si="103"/>
        <v>145958.78</v>
      </c>
      <c r="H207" s="373">
        <f t="shared" si="104"/>
        <v>-0.32877432930036832</v>
      </c>
      <c r="I207" s="371"/>
    </row>
    <row r="208" spans="2:9" x14ac:dyDescent="0.25">
      <c r="B208" s="634">
        <v>42375</v>
      </c>
      <c r="C208" s="370">
        <v>8678</v>
      </c>
      <c r="D208" s="635">
        <v>18.257000000000001</v>
      </c>
      <c r="E208" s="371">
        <v>12.76</v>
      </c>
      <c r="F208" s="371">
        <f t="shared" si="102"/>
        <v>-47702.966000000015</v>
      </c>
      <c r="G208" s="371">
        <f t="shared" si="103"/>
        <v>158434.24600000001</v>
      </c>
      <c r="H208" s="373">
        <f t="shared" si="104"/>
        <v>-0.30108999287944355</v>
      </c>
      <c r="I208" s="371"/>
    </row>
    <row r="209" spans="2:9" x14ac:dyDescent="0.25">
      <c r="B209" s="634">
        <v>42375</v>
      </c>
      <c r="C209" s="370">
        <v>9678</v>
      </c>
      <c r="D209" s="635">
        <v>17.579999999999998</v>
      </c>
      <c r="E209" s="371">
        <v>11.28</v>
      </c>
      <c r="F209" s="371">
        <f t="shared" si="102"/>
        <v>-60971.399999999987</v>
      </c>
      <c r="G209" s="371">
        <f t="shared" si="103"/>
        <v>170139.24</v>
      </c>
      <c r="H209" s="373">
        <f t="shared" si="104"/>
        <v>-0.35836177474402725</v>
      </c>
      <c r="I209" s="371"/>
    </row>
    <row r="210" spans="2:9" ht="15" customHeight="1" x14ac:dyDescent="0.25">
      <c r="B210" s="634">
        <v>42398</v>
      </c>
      <c r="C210" s="370">
        <v>9278</v>
      </c>
      <c r="D210" s="635">
        <v>17.93</v>
      </c>
      <c r="E210" s="371">
        <v>9.56</v>
      </c>
      <c r="F210" s="371">
        <f t="shared" si="102"/>
        <v>-77656.859999999986</v>
      </c>
      <c r="G210" s="371">
        <f t="shared" si="103"/>
        <v>166354.54</v>
      </c>
      <c r="H210" s="373">
        <f t="shared" si="104"/>
        <v>-0.46681539319576126</v>
      </c>
      <c r="I210" s="371"/>
    </row>
    <row r="211" spans="2:9" x14ac:dyDescent="0.25">
      <c r="B211" s="634">
        <v>42402</v>
      </c>
      <c r="C211" s="370">
        <v>9678</v>
      </c>
      <c r="D211" s="635">
        <v>17.559999999999999</v>
      </c>
      <c r="E211" s="371">
        <v>8.74</v>
      </c>
      <c r="F211" s="371">
        <f t="shared" si="102"/>
        <v>-85359.959999999992</v>
      </c>
      <c r="G211" s="371">
        <f t="shared" si="103"/>
        <v>169945.68</v>
      </c>
      <c r="H211" s="373">
        <f t="shared" si="104"/>
        <v>-0.50227790432801822</v>
      </c>
      <c r="I211" s="371"/>
    </row>
    <row r="212" spans="2:9" x14ac:dyDescent="0.25">
      <c r="B212" s="634">
        <v>42411</v>
      </c>
      <c r="C212" s="370">
        <v>9678</v>
      </c>
      <c r="D212" s="635">
        <v>17.553999999999998</v>
      </c>
      <c r="E212" s="371">
        <v>7.13</v>
      </c>
      <c r="F212" s="371">
        <f t="shared" si="102"/>
        <v>-100883.47199999999</v>
      </c>
      <c r="G212" s="371">
        <f t="shared" si="103"/>
        <v>169887.61199999999</v>
      </c>
      <c r="H212" s="372">
        <f t="shared" si="104"/>
        <v>-0.59382476928335426</v>
      </c>
      <c r="I212" s="371"/>
    </row>
    <row r="213" spans="2:9" x14ac:dyDescent="0.25">
      <c r="B213" s="634">
        <v>42412</v>
      </c>
      <c r="C213" s="370">
        <v>9678</v>
      </c>
      <c r="D213" s="635">
        <v>17.55</v>
      </c>
      <c r="E213" s="371">
        <v>7.46</v>
      </c>
      <c r="F213" s="371">
        <f t="shared" si="102"/>
        <v>-97651.02</v>
      </c>
      <c r="G213" s="371">
        <f t="shared" si="103"/>
        <v>169848.9</v>
      </c>
      <c r="H213" s="372">
        <f t="shared" si="104"/>
        <v>-0.57492877492877492</v>
      </c>
      <c r="I213" s="371"/>
    </row>
    <row r="214" spans="2:9" x14ac:dyDescent="0.25">
      <c r="B214" s="634">
        <v>42416</v>
      </c>
      <c r="C214" s="370">
        <v>9178</v>
      </c>
      <c r="D214" s="635">
        <v>18.084</v>
      </c>
      <c r="E214" s="371">
        <v>7.49</v>
      </c>
      <c r="F214" s="371">
        <f t="shared" si="102"/>
        <v>-97231.731999999989</v>
      </c>
      <c r="G214" s="371">
        <f t="shared" si="103"/>
        <v>165974.95199999999</v>
      </c>
      <c r="H214" s="372">
        <f t="shared" si="104"/>
        <v>-0.58582172085821715</v>
      </c>
      <c r="I214" s="371"/>
    </row>
    <row r="215" spans="2:9" x14ac:dyDescent="0.25">
      <c r="B215" s="634">
        <v>42416</v>
      </c>
      <c r="C215" s="370">
        <v>9678</v>
      </c>
      <c r="D215" s="635">
        <v>17.536999999999999</v>
      </c>
      <c r="E215" s="371">
        <v>7.49</v>
      </c>
      <c r="F215" s="371">
        <f t="shared" si="102"/>
        <v>-97234.865999999995</v>
      </c>
      <c r="G215" s="371">
        <f t="shared" si="103"/>
        <v>169723.08599999998</v>
      </c>
      <c r="H215" s="372">
        <f t="shared" si="104"/>
        <v>-0.57290300507498426</v>
      </c>
      <c r="I215" s="371"/>
    </row>
    <row r="216" spans="2:9" x14ac:dyDescent="0.25">
      <c r="B216" s="634">
        <v>42418</v>
      </c>
      <c r="C216" s="370">
        <v>13478</v>
      </c>
      <c r="D216" s="635">
        <v>14.673999999999999</v>
      </c>
      <c r="E216" s="371">
        <v>6.93</v>
      </c>
      <c r="F216" s="371">
        <f t="shared" si="102"/>
        <v>-104373.632</v>
      </c>
      <c r="G216" s="371">
        <f t="shared" si="103"/>
        <v>197776.17199999999</v>
      </c>
      <c r="H216" s="372">
        <f t="shared" si="104"/>
        <v>-0.52773613193403301</v>
      </c>
      <c r="I216" s="371"/>
    </row>
    <row r="217" spans="2:9" x14ac:dyDescent="0.25">
      <c r="B217" s="634">
        <v>42422</v>
      </c>
      <c r="C217" s="370">
        <v>10978</v>
      </c>
      <c r="D217" s="635">
        <v>16.314</v>
      </c>
      <c r="E217" s="371">
        <v>7.49</v>
      </c>
      <c r="F217" s="371">
        <f t="shared" si="102"/>
        <v>-96869.872000000003</v>
      </c>
      <c r="G217" s="371">
        <f>IF(C217=0, 0,D217*C217)</f>
        <v>179095.092</v>
      </c>
      <c r="H217" s="372">
        <f>IF(C217=0, D217, (E217-D217)/D217)</f>
        <v>-0.54088512933676591</v>
      </c>
      <c r="I217" s="371"/>
    </row>
    <row r="218" spans="2:9" x14ac:dyDescent="0.25">
      <c r="B218" s="634">
        <v>42422</v>
      </c>
      <c r="C218" s="370">
        <v>9978</v>
      </c>
      <c r="D218" s="635">
        <v>17.199000000000002</v>
      </c>
      <c r="E218" s="371">
        <v>7.49</v>
      </c>
      <c r="F218" s="371">
        <f t="shared" si="102"/>
        <v>-96876.402000000016</v>
      </c>
      <c r="G218" s="371">
        <f>IF(C218=0, 0,D218*C218)</f>
        <v>171611.622</v>
      </c>
      <c r="H218" s="372">
        <f>IF(C218=0, D218, (E218-D218)/D218)</f>
        <v>-0.56450956450956458</v>
      </c>
      <c r="I218" s="371"/>
    </row>
    <row r="219" spans="2:9" ht="15" customHeight="1" x14ac:dyDescent="0.25">
      <c r="B219" s="634">
        <v>42426</v>
      </c>
      <c r="C219" s="370">
        <v>9678</v>
      </c>
      <c r="D219" s="635">
        <v>17.489000000000001</v>
      </c>
      <c r="E219" s="371">
        <v>7.49</v>
      </c>
      <c r="F219" s="371">
        <f t="shared" ref="F219:F227" si="105">C219*(E219-D219)</f>
        <v>-96770.322</v>
      </c>
      <c r="G219" s="371">
        <f>IF(C219=0, 0,D219*C219)</f>
        <v>169258.54200000002</v>
      </c>
      <c r="H219" s="372">
        <f>IF(C219=0, D219, (E219-D219)/D219)</f>
        <v>-0.57173080221853734</v>
      </c>
      <c r="I219" s="371"/>
    </row>
    <row r="220" spans="2:9" ht="15" customHeight="1" x14ac:dyDescent="0.25">
      <c r="B220" s="634">
        <v>42426</v>
      </c>
      <c r="C220" s="370">
        <v>9178</v>
      </c>
      <c r="D220" s="635">
        <v>18.02</v>
      </c>
      <c r="E220" s="371">
        <v>7.76</v>
      </c>
      <c r="F220" s="371">
        <f t="shared" si="105"/>
        <v>-94166.28</v>
      </c>
      <c r="G220" s="371">
        <f t="shared" ref="G220:G227" si="106">IF(C220=0, 0,D220*C220)</f>
        <v>165387.56</v>
      </c>
      <c r="H220" s="372">
        <f t="shared" ref="H220:H227" si="107">IF(C220=0, D220, (E220-D220)/D220)</f>
        <v>-0.5693673695893452</v>
      </c>
      <c r="I220" s="371"/>
    </row>
    <row r="221" spans="2:9" x14ac:dyDescent="0.25">
      <c r="B221" s="634">
        <v>42426</v>
      </c>
      <c r="C221" s="370">
        <v>8178</v>
      </c>
      <c r="D221" s="635">
        <v>19.245999999999999</v>
      </c>
      <c r="E221" s="371">
        <v>8</v>
      </c>
      <c r="F221" s="371">
        <f t="shared" si="105"/>
        <v>-91969.787999999986</v>
      </c>
      <c r="G221" s="371">
        <f t="shared" si="106"/>
        <v>157393.788</v>
      </c>
      <c r="H221" s="372">
        <f t="shared" si="107"/>
        <v>-0.58432921126467829</v>
      </c>
      <c r="I221" s="371"/>
    </row>
    <row r="222" spans="2:9" x14ac:dyDescent="0.25">
      <c r="B222" s="634">
        <v>42426</v>
      </c>
      <c r="C222" s="370">
        <v>6678</v>
      </c>
      <c r="D222" s="635">
        <v>21.75</v>
      </c>
      <c r="E222" s="371">
        <v>8.1</v>
      </c>
      <c r="F222" s="371">
        <f t="shared" si="105"/>
        <v>-91154.7</v>
      </c>
      <c r="G222" s="371">
        <f t="shared" si="106"/>
        <v>145246.5</v>
      </c>
      <c r="H222" s="372">
        <f t="shared" si="107"/>
        <v>-0.62758620689655176</v>
      </c>
      <c r="I222" s="371"/>
    </row>
    <row r="223" spans="2:9" x14ac:dyDescent="0.25">
      <c r="B223" s="634">
        <v>42426</v>
      </c>
      <c r="C223" s="370">
        <v>8678</v>
      </c>
      <c r="D223" s="635">
        <v>18.568999999999999</v>
      </c>
      <c r="E223" s="371">
        <v>7.94</v>
      </c>
      <c r="F223" s="371">
        <f t="shared" si="105"/>
        <v>-92238.461999999985</v>
      </c>
      <c r="G223" s="371">
        <f t="shared" si="106"/>
        <v>161141.78199999998</v>
      </c>
      <c r="H223" s="372">
        <f t="shared" si="107"/>
        <v>-0.57240562227368186</v>
      </c>
      <c r="I223" s="371"/>
    </row>
    <row r="224" spans="2:9" x14ac:dyDescent="0.25">
      <c r="B224" s="634">
        <v>42429</v>
      </c>
      <c r="C224" s="370">
        <v>7678</v>
      </c>
      <c r="D224" s="635">
        <v>19.876000000000001</v>
      </c>
      <c r="E224" s="371">
        <v>8.2100000000000009</v>
      </c>
      <c r="F224" s="371">
        <f t="shared" si="105"/>
        <v>-89571.54800000001</v>
      </c>
      <c r="G224" s="371">
        <f t="shared" si="106"/>
        <v>152607.92800000001</v>
      </c>
      <c r="H224" s="372">
        <f t="shared" si="107"/>
        <v>-0.58693902193600322</v>
      </c>
      <c r="I224" s="371"/>
    </row>
    <row r="225" spans="2:17" x14ac:dyDescent="0.25">
      <c r="B225" s="634">
        <v>42429</v>
      </c>
      <c r="C225" s="370">
        <v>9678</v>
      </c>
      <c r="D225" s="635">
        <v>17.463000000000001</v>
      </c>
      <c r="E225" s="371">
        <v>8.2100000000000009</v>
      </c>
      <c r="F225" s="371">
        <f t="shared" si="105"/>
        <v>-89550.534</v>
      </c>
      <c r="G225" s="371">
        <f t="shared" si="106"/>
        <v>169006.91400000002</v>
      </c>
      <c r="H225" s="372">
        <f t="shared" si="107"/>
        <v>-0.5298631392086125</v>
      </c>
      <c r="I225" s="371"/>
    </row>
    <row r="226" spans="2:17" x14ac:dyDescent="0.25">
      <c r="B226" s="634">
        <v>42429</v>
      </c>
      <c r="C226" s="370">
        <v>9178</v>
      </c>
      <c r="D226" s="635">
        <v>17.981000000000002</v>
      </c>
      <c r="E226" s="371">
        <v>8.2100000000000009</v>
      </c>
      <c r="F226" s="371">
        <f t="shared" si="105"/>
        <v>-89678.238000000012</v>
      </c>
      <c r="G226" s="371">
        <f t="shared" si="106"/>
        <v>165029.61800000002</v>
      </c>
      <c r="H226" s="372">
        <f t="shared" si="107"/>
        <v>-0.5434069295367332</v>
      </c>
      <c r="I226" s="371"/>
    </row>
    <row r="227" spans="2:17" x14ac:dyDescent="0.25">
      <c r="B227" s="634">
        <v>42429</v>
      </c>
      <c r="C227" s="370">
        <v>9678</v>
      </c>
      <c r="D227" s="635">
        <v>17.459</v>
      </c>
      <c r="E227" s="371">
        <v>8.2100000000000009</v>
      </c>
      <c r="F227" s="371">
        <f t="shared" si="105"/>
        <v>-89511.821999999986</v>
      </c>
      <c r="G227" s="371">
        <f t="shared" si="106"/>
        <v>168968.20199999999</v>
      </c>
      <c r="H227" s="372">
        <f t="shared" si="107"/>
        <v>-0.5297554270004009</v>
      </c>
      <c r="I227" s="371"/>
      <c r="P227" s="70"/>
    </row>
    <row r="228" spans="2:17" x14ac:dyDescent="0.25">
      <c r="B228" s="634">
        <v>42429</v>
      </c>
      <c r="C228" s="370">
        <v>9178</v>
      </c>
      <c r="D228" s="635">
        <v>17.975999999999999</v>
      </c>
      <c r="E228" s="371">
        <v>8.2100000000000009</v>
      </c>
      <c r="F228" s="371">
        <f t="shared" ref="F228:F239" si="108">C228*(E228-D228)</f>
        <v>-89632.347999999984</v>
      </c>
      <c r="G228" s="371">
        <f t="shared" ref="G228:G239" si="109">IF(C228=0, 0,D228*C228)</f>
        <v>164983.728</v>
      </c>
      <c r="H228" s="372">
        <f t="shared" ref="H228:H279" si="110">IF(C228=0, D228, (E228-D228)/D228)</f>
        <v>-0.54327992879394738</v>
      </c>
      <c r="I228" s="371" t="s">
        <v>186</v>
      </c>
      <c r="P228" s="70"/>
    </row>
    <row r="229" spans="2:17" x14ac:dyDescent="0.25">
      <c r="B229" s="634">
        <v>42430</v>
      </c>
      <c r="C229" s="391">
        <v>10178</v>
      </c>
      <c r="D229" s="636">
        <v>16.974</v>
      </c>
      <c r="E229" s="371">
        <v>7.8</v>
      </c>
      <c r="F229" s="371">
        <f t="shared" si="108"/>
        <v>-93372.971999999994</v>
      </c>
      <c r="G229" s="371">
        <f t="shared" si="109"/>
        <v>172761.372</v>
      </c>
      <c r="H229" s="372">
        <f t="shared" si="110"/>
        <v>-0.54047366560622123</v>
      </c>
      <c r="I229" s="371"/>
    </row>
    <row r="230" spans="2:17" x14ac:dyDescent="0.25">
      <c r="B230" s="634">
        <v>42430</v>
      </c>
      <c r="C230" s="391">
        <v>9678</v>
      </c>
      <c r="D230" s="636">
        <v>17.440000000000001</v>
      </c>
      <c r="E230" s="371">
        <v>7.96</v>
      </c>
      <c r="F230" s="371">
        <f t="shared" si="108"/>
        <v>-91747.44</v>
      </c>
      <c r="G230" s="371">
        <f t="shared" si="109"/>
        <v>168784.32</v>
      </c>
      <c r="H230" s="372">
        <f t="shared" si="110"/>
        <v>-0.54357798165137616</v>
      </c>
      <c r="I230" s="371"/>
    </row>
    <row r="231" spans="2:17" x14ac:dyDescent="0.25">
      <c r="B231" s="634">
        <v>42431</v>
      </c>
      <c r="C231" s="370">
        <v>8678</v>
      </c>
      <c r="D231" s="635">
        <v>18.405999999999999</v>
      </c>
      <c r="E231" s="371">
        <v>9.1</v>
      </c>
      <c r="F231" s="371">
        <f t="shared" si="108"/>
        <v>-80757.467999999993</v>
      </c>
      <c r="G231" s="371">
        <f t="shared" si="109"/>
        <v>159727.26799999998</v>
      </c>
      <c r="H231" s="373">
        <f t="shared" si="110"/>
        <v>-0.50559600130392257</v>
      </c>
      <c r="I231" s="371"/>
    </row>
    <row r="232" spans="2:17" x14ac:dyDescent="0.25">
      <c r="B232" s="634">
        <v>42432</v>
      </c>
      <c r="C232" s="370">
        <v>9278</v>
      </c>
      <c r="D232" s="635">
        <v>17.771999999999998</v>
      </c>
      <c r="E232" s="371">
        <v>9.9700000000000006</v>
      </c>
      <c r="F232" s="371">
        <f t="shared" si="108"/>
        <v>-72386.955999999976</v>
      </c>
      <c r="G232" s="371">
        <f t="shared" si="109"/>
        <v>164888.61599999998</v>
      </c>
      <c r="H232" s="373">
        <f t="shared" si="110"/>
        <v>-0.43900517668242173</v>
      </c>
      <c r="I232" s="371"/>
    </row>
    <row r="233" spans="2:17" x14ac:dyDescent="0.25">
      <c r="B233" s="634">
        <v>42433</v>
      </c>
      <c r="C233" s="370">
        <v>9278</v>
      </c>
      <c r="D233" s="635">
        <v>17.771999999999998</v>
      </c>
      <c r="E233" s="371">
        <v>11</v>
      </c>
      <c r="F233" s="371">
        <f t="shared" si="108"/>
        <v>-62830.615999999987</v>
      </c>
      <c r="G233" s="371">
        <f t="shared" si="109"/>
        <v>164888.61599999998</v>
      </c>
      <c r="H233" s="373">
        <f t="shared" si="110"/>
        <v>-0.38104884087328378</v>
      </c>
      <c r="I233" s="371"/>
      <c r="N233" s="70"/>
    </row>
    <row r="234" spans="2:17" ht="15" customHeight="1" x14ac:dyDescent="0.25">
      <c r="B234" s="634">
        <v>42439</v>
      </c>
      <c r="C234" s="370">
        <v>9278</v>
      </c>
      <c r="D234" s="635">
        <v>17.718</v>
      </c>
      <c r="E234" s="371">
        <v>10.59</v>
      </c>
      <c r="F234" s="371">
        <f t="shared" si="108"/>
        <v>-66133.584000000003</v>
      </c>
      <c r="G234" s="371">
        <f t="shared" si="109"/>
        <v>164387.60399999999</v>
      </c>
      <c r="H234" s="373">
        <f t="shared" si="110"/>
        <v>-0.40230274297324753</v>
      </c>
      <c r="I234" s="371" t="s">
        <v>185</v>
      </c>
    </row>
    <row r="235" spans="2:17" ht="18.75" customHeight="1" x14ac:dyDescent="0.25">
      <c r="B235" s="634">
        <v>42440</v>
      </c>
      <c r="C235" s="370">
        <v>9278</v>
      </c>
      <c r="D235" s="635">
        <v>17.712</v>
      </c>
      <c r="E235" s="371">
        <v>11.12</v>
      </c>
      <c r="F235" s="371">
        <f t="shared" si="108"/>
        <v>-61160.576000000008</v>
      </c>
      <c r="G235" s="371">
        <f t="shared" si="109"/>
        <v>164331.93599999999</v>
      </c>
      <c r="H235" s="373">
        <f t="shared" si="110"/>
        <v>-0.37217705510388438</v>
      </c>
      <c r="I235" s="371"/>
    </row>
    <row r="236" spans="2:17" x14ac:dyDescent="0.25">
      <c r="B236" s="634">
        <v>42446</v>
      </c>
      <c r="C236" s="370">
        <v>9278</v>
      </c>
      <c r="D236" s="635">
        <v>17.704999999999998</v>
      </c>
      <c r="E236" s="371">
        <v>11.45</v>
      </c>
      <c r="F236" s="371">
        <f t="shared" si="108"/>
        <v>-58033.889999999992</v>
      </c>
      <c r="G236" s="371">
        <f t="shared" si="109"/>
        <v>164266.99</v>
      </c>
      <c r="H236" s="373">
        <f t="shared" si="110"/>
        <v>-0.353290031064671</v>
      </c>
      <c r="I236" s="371"/>
    </row>
    <row r="237" spans="2:17" x14ac:dyDescent="0.25">
      <c r="B237" s="634">
        <v>42447</v>
      </c>
      <c r="C237" s="370">
        <v>7928</v>
      </c>
      <c r="D237" s="635">
        <v>18.734999999999999</v>
      </c>
      <c r="E237" s="371">
        <v>11.63</v>
      </c>
      <c r="F237" s="371">
        <f t="shared" si="108"/>
        <v>-56328.439999999988</v>
      </c>
      <c r="G237" s="371">
        <f t="shared" si="109"/>
        <v>148531.07999999999</v>
      </c>
      <c r="H237" s="373">
        <f t="shared" si="110"/>
        <v>-0.37923672271150249</v>
      </c>
      <c r="I237" s="371"/>
    </row>
    <row r="238" spans="2:17" x14ac:dyDescent="0.25">
      <c r="B238" s="634">
        <v>42450</v>
      </c>
      <c r="C238" s="370">
        <v>9278</v>
      </c>
      <c r="D238" s="635">
        <v>17.670000000000002</v>
      </c>
      <c r="E238" s="371">
        <v>11.43</v>
      </c>
      <c r="F238" s="371">
        <f t="shared" si="108"/>
        <v>-57894.720000000016</v>
      </c>
      <c r="G238" s="371">
        <f t="shared" si="109"/>
        <v>163942.26</v>
      </c>
      <c r="H238" s="372">
        <f t="shared" si="110"/>
        <v>-0.35314091680814946</v>
      </c>
      <c r="I238" s="371"/>
    </row>
    <row r="239" spans="2:17" x14ac:dyDescent="0.25">
      <c r="B239" s="634">
        <v>42451</v>
      </c>
      <c r="C239" s="370">
        <v>9628</v>
      </c>
      <c r="D239" s="635">
        <v>17.428000000000001</v>
      </c>
      <c r="E239" s="371">
        <v>11.31</v>
      </c>
      <c r="F239" s="371">
        <f t="shared" si="108"/>
        <v>-58904.104000000007</v>
      </c>
      <c r="G239" s="371">
        <f t="shared" si="109"/>
        <v>167796.78400000001</v>
      </c>
      <c r="H239" s="372">
        <f t="shared" si="110"/>
        <v>-0.35104429653431263</v>
      </c>
      <c r="I239" s="371"/>
      <c r="P239" s="1"/>
    </row>
    <row r="240" spans="2:17" x14ac:dyDescent="0.25">
      <c r="B240" s="634">
        <v>42453</v>
      </c>
      <c r="C240" s="370">
        <v>13278</v>
      </c>
      <c r="D240" s="635">
        <v>15.5565</v>
      </c>
      <c r="E240" s="371">
        <v>10.29</v>
      </c>
      <c r="F240" s="371">
        <f t="shared" ref="F240:F279" si="111">C240*(E240-D240)</f>
        <v>-69928.587000000014</v>
      </c>
      <c r="G240" s="371">
        <f t="shared" ref="G240:G279" si="112">IF(C240=0, 0,D240*C240)</f>
        <v>206559.20699999999</v>
      </c>
      <c r="H240" s="372">
        <f t="shared" si="110"/>
        <v>-0.33854016006171056</v>
      </c>
      <c r="I240" s="371"/>
      <c r="Q240" s="70"/>
    </row>
    <row r="241" spans="2:17" x14ac:dyDescent="0.25">
      <c r="B241" s="634">
        <v>42459</v>
      </c>
      <c r="C241" s="370">
        <v>11278</v>
      </c>
      <c r="D241" s="635">
        <v>16.408899999999999</v>
      </c>
      <c r="E241" s="371">
        <v>10.53</v>
      </c>
      <c r="F241" s="371">
        <f t="shared" si="111"/>
        <v>-66302.234199999992</v>
      </c>
      <c r="G241" s="371">
        <f t="shared" si="112"/>
        <v>185059.5742</v>
      </c>
      <c r="H241" s="372">
        <f t="shared" si="110"/>
        <v>-0.35827508242478168</v>
      </c>
      <c r="I241" s="371"/>
      <c r="P241" s="1"/>
    </row>
    <row r="242" spans="2:17" x14ac:dyDescent="0.25">
      <c r="B242" s="634">
        <v>42460</v>
      </c>
      <c r="C242" s="370">
        <v>9678</v>
      </c>
      <c r="D242" s="635">
        <v>17.311699999999998</v>
      </c>
      <c r="E242" s="371">
        <v>11.14</v>
      </c>
      <c r="F242" s="371">
        <f t="shared" si="111"/>
        <v>-59729.712599999977</v>
      </c>
      <c r="G242" s="371">
        <f t="shared" si="112"/>
        <v>167542.63259999998</v>
      </c>
      <c r="H242" s="372">
        <f t="shared" si="110"/>
        <v>-0.35650456049954643</v>
      </c>
      <c r="I242" s="371"/>
      <c r="P242" s="1"/>
      <c r="Q242" s="70"/>
    </row>
    <row r="243" spans="2:17" x14ac:dyDescent="0.25">
      <c r="B243" s="634">
        <v>42461</v>
      </c>
      <c r="C243" s="370">
        <v>11678</v>
      </c>
      <c r="D243" s="635">
        <v>16.116</v>
      </c>
      <c r="E243" s="371">
        <v>10.53</v>
      </c>
      <c r="F243" s="371">
        <f t="shared" si="111"/>
        <v>-65233.308000000005</v>
      </c>
      <c r="G243" s="371">
        <f t="shared" si="112"/>
        <v>188202.64799999999</v>
      </c>
      <c r="H243" s="372">
        <f t="shared" si="110"/>
        <v>-0.34661206254653765</v>
      </c>
      <c r="I243" s="371"/>
      <c r="P243" s="1"/>
    </row>
    <row r="244" spans="2:17" x14ac:dyDescent="0.25">
      <c r="B244" s="634">
        <v>42461</v>
      </c>
      <c r="C244" s="370">
        <v>9678</v>
      </c>
      <c r="D244" s="635">
        <v>17.266200000000001</v>
      </c>
      <c r="E244" s="371">
        <v>10.56</v>
      </c>
      <c r="F244" s="371">
        <f t="shared" si="111"/>
        <v>-64902.603600000009</v>
      </c>
      <c r="G244" s="371">
        <f t="shared" si="112"/>
        <v>167102.28360000002</v>
      </c>
      <c r="H244" s="372">
        <f t="shared" si="110"/>
        <v>-0.388400458699656</v>
      </c>
      <c r="I244" s="371"/>
      <c r="P244" s="1"/>
      <c r="Q244" s="70"/>
    </row>
    <row r="245" spans="2:17" x14ac:dyDescent="0.25">
      <c r="B245" s="634">
        <v>42464</v>
      </c>
      <c r="C245" s="370">
        <v>9778</v>
      </c>
      <c r="D245" s="635">
        <v>17.196100000000001</v>
      </c>
      <c r="E245" s="371">
        <v>10.4</v>
      </c>
      <c r="F245" s="371">
        <f t="shared" si="111"/>
        <v>-66452.265800000008</v>
      </c>
      <c r="G245" s="371">
        <f t="shared" si="112"/>
        <v>168143.46580000001</v>
      </c>
      <c r="H245" s="372">
        <f t="shared" si="110"/>
        <v>-0.3952117049796175</v>
      </c>
      <c r="I245" s="371"/>
      <c r="Q245" s="70"/>
    </row>
    <row r="246" spans="2:17" x14ac:dyDescent="0.25">
      <c r="B246" s="634">
        <v>42465</v>
      </c>
      <c r="C246" s="370">
        <v>9678</v>
      </c>
      <c r="D246" s="635">
        <v>17.262699999999999</v>
      </c>
      <c r="E246" s="371">
        <v>10.63</v>
      </c>
      <c r="F246" s="371">
        <f t="shared" si="111"/>
        <v>-64191.270599999982</v>
      </c>
      <c r="G246" s="371">
        <f t="shared" si="112"/>
        <v>167068.4106</v>
      </c>
      <c r="H246" s="372">
        <f t="shared" si="110"/>
        <v>-0.38422147172806098</v>
      </c>
      <c r="I246" s="371"/>
      <c r="P246" s="1"/>
    </row>
    <row r="247" spans="2:17" x14ac:dyDescent="0.25">
      <c r="B247" s="634">
        <v>42469</v>
      </c>
      <c r="C247" s="370">
        <v>8678</v>
      </c>
      <c r="D247" s="635">
        <v>17.895700000000001</v>
      </c>
      <c r="E247" s="371">
        <v>11.78</v>
      </c>
      <c r="F247" s="371">
        <f t="shared" si="111"/>
        <v>-53072.044600000016</v>
      </c>
      <c r="G247" s="371">
        <f t="shared" si="112"/>
        <v>155298.88460000002</v>
      </c>
      <c r="H247" s="372">
        <f t="shared" si="110"/>
        <v>-0.34174131215878684</v>
      </c>
      <c r="I247" s="371"/>
    </row>
    <row r="248" spans="2:17" x14ac:dyDescent="0.25">
      <c r="B248" s="634">
        <v>42471</v>
      </c>
      <c r="C248" s="370">
        <v>9678</v>
      </c>
      <c r="D248" s="635">
        <v>17.2514</v>
      </c>
      <c r="E248" s="371">
        <v>11.67</v>
      </c>
      <c r="F248" s="371">
        <f t="shared" si="111"/>
        <v>-54016.789200000007</v>
      </c>
      <c r="G248" s="371">
        <f t="shared" si="112"/>
        <v>166959.04920000001</v>
      </c>
      <c r="H248" s="372">
        <f t="shared" si="110"/>
        <v>-0.32353316252593994</v>
      </c>
      <c r="I248" s="371"/>
    </row>
    <row r="249" spans="2:17" x14ac:dyDescent="0.25">
      <c r="B249" s="634">
        <v>42472</v>
      </c>
      <c r="C249" s="370">
        <v>8288</v>
      </c>
      <c r="D249" s="635">
        <v>17.96</v>
      </c>
      <c r="E249" s="371">
        <v>13.05</v>
      </c>
      <c r="F249" s="371">
        <f t="shared" si="111"/>
        <v>-40694.080000000002</v>
      </c>
      <c r="G249" s="371">
        <f t="shared" si="112"/>
        <v>148852.48000000001</v>
      </c>
      <c r="H249" s="372">
        <f t="shared" si="110"/>
        <v>-0.27338530066815142</v>
      </c>
      <c r="I249" s="371"/>
    </row>
    <row r="250" spans="2:17" x14ac:dyDescent="0.25">
      <c r="B250" s="634">
        <v>42473</v>
      </c>
      <c r="C250" s="370">
        <v>9258</v>
      </c>
      <c r="D250" s="635">
        <v>17.415800000000001</v>
      </c>
      <c r="E250" s="371">
        <v>12.92</v>
      </c>
      <c r="F250" s="371">
        <f t="shared" si="111"/>
        <v>-41622.116400000006</v>
      </c>
      <c r="G250" s="371">
        <f t="shared" si="112"/>
        <v>161235.47640000001</v>
      </c>
      <c r="H250" s="372">
        <f t="shared" si="110"/>
        <v>-0.2581449029042594</v>
      </c>
      <c r="I250" s="371"/>
    </row>
    <row r="251" spans="2:17" x14ac:dyDescent="0.25">
      <c r="B251" s="634">
        <v>42474</v>
      </c>
      <c r="C251" s="370">
        <v>9678</v>
      </c>
      <c r="D251" s="635">
        <v>17.2135</v>
      </c>
      <c r="E251" s="371">
        <v>13.11</v>
      </c>
      <c r="F251" s="371">
        <f t="shared" si="111"/>
        <v>-39713.673000000003</v>
      </c>
      <c r="G251" s="371">
        <f t="shared" si="112"/>
        <v>166592.253</v>
      </c>
      <c r="H251" s="372">
        <f t="shared" si="110"/>
        <v>-0.23838847416272113</v>
      </c>
      <c r="I251" s="371"/>
    </row>
    <row r="252" spans="2:17" x14ac:dyDescent="0.25">
      <c r="B252" s="634">
        <v>42474</v>
      </c>
      <c r="C252" s="370">
        <v>9178</v>
      </c>
      <c r="D252" s="635">
        <v>17.433299999999999</v>
      </c>
      <c r="E252" s="371">
        <v>13.11</v>
      </c>
      <c r="F252" s="371">
        <f t="shared" si="111"/>
        <v>-39679.2474</v>
      </c>
      <c r="G252" s="371">
        <f t="shared" si="112"/>
        <v>160002.82739999998</v>
      </c>
      <c r="H252" s="372">
        <f t="shared" si="110"/>
        <v>-0.24799091394056202</v>
      </c>
      <c r="I252" s="371"/>
    </row>
    <row r="253" spans="2:17" x14ac:dyDescent="0.25">
      <c r="B253" s="634">
        <v>42475</v>
      </c>
      <c r="C253" s="370">
        <v>9678</v>
      </c>
      <c r="D253" s="635">
        <v>17.205100000000002</v>
      </c>
      <c r="E253" s="371">
        <v>13.01</v>
      </c>
      <c r="F253" s="371">
        <f t="shared" si="111"/>
        <v>-40600.177800000019</v>
      </c>
      <c r="G253" s="371">
        <f t="shared" si="112"/>
        <v>166510.9578</v>
      </c>
      <c r="H253" s="372">
        <f t="shared" si="110"/>
        <v>-0.24382886469709572</v>
      </c>
      <c r="I253" s="371"/>
    </row>
    <row r="254" spans="2:17" x14ac:dyDescent="0.25">
      <c r="B254" s="634">
        <v>42478</v>
      </c>
      <c r="C254" s="370">
        <v>9178</v>
      </c>
      <c r="D254" s="635">
        <v>17.412400000000002</v>
      </c>
      <c r="E254" s="371">
        <v>13.36</v>
      </c>
      <c r="F254" s="371">
        <f t="shared" si="111"/>
        <v>-37192.92720000002</v>
      </c>
      <c r="G254" s="371">
        <f t="shared" si="112"/>
        <v>159811.00720000002</v>
      </c>
      <c r="H254" s="372">
        <f t="shared" si="110"/>
        <v>-0.232730697663734</v>
      </c>
      <c r="I254" s="371"/>
    </row>
    <row r="255" spans="2:17" x14ac:dyDescent="0.25">
      <c r="B255" s="634">
        <v>42484</v>
      </c>
      <c r="C255" s="391">
        <v>9178</v>
      </c>
      <c r="D255" s="636">
        <v>17.412400000000002</v>
      </c>
      <c r="E255" s="371">
        <v>14.34</v>
      </c>
      <c r="F255" s="371">
        <f t="shared" si="111"/>
        <v>-28198.487200000018</v>
      </c>
      <c r="G255" s="371">
        <f t="shared" si="112"/>
        <v>159811.00720000002</v>
      </c>
      <c r="H255" s="372">
        <f t="shared" si="110"/>
        <v>-0.17644896740254082</v>
      </c>
      <c r="I255" s="371"/>
    </row>
    <row r="256" spans="2:17" x14ac:dyDescent="0.25">
      <c r="B256" s="634">
        <v>42485</v>
      </c>
      <c r="C256" s="391">
        <v>9678</v>
      </c>
      <c r="D256" s="636">
        <v>17.233499999999999</v>
      </c>
      <c r="E256" s="371">
        <v>13.83</v>
      </c>
      <c r="F256" s="371">
        <f t="shared" si="111"/>
        <v>-32939.072999999997</v>
      </c>
      <c r="G256" s="371">
        <f t="shared" si="112"/>
        <v>166785.81299999999</v>
      </c>
      <c r="H256" s="372">
        <f t="shared" si="110"/>
        <v>-0.19749325441726867</v>
      </c>
      <c r="I256" s="371"/>
    </row>
    <row r="257" spans="2:14" x14ac:dyDescent="0.25">
      <c r="B257" s="634">
        <v>42486</v>
      </c>
      <c r="C257" s="370">
        <v>9178</v>
      </c>
      <c r="D257" s="635">
        <v>17.390599999999999</v>
      </c>
      <c r="E257" s="371">
        <v>14.44</v>
      </c>
      <c r="F257" s="371">
        <f t="shared" si="111"/>
        <v>-27080.606799999998</v>
      </c>
      <c r="G257" s="371">
        <f t="shared" si="112"/>
        <v>159610.92679999999</v>
      </c>
      <c r="H257" s="373">
        <f t="shared" si="110"/>
        <v>-0.16966637148804525</v>
      </c>
      <c r="I257" s="371"/>
    </row>
    <row r="258" spans="2:14" x14ac:dyDescent="0.25">
      <c r="B258" s="634">
        <v>42487</v>
      </c>
      <c r="C258" s="370">
        <v>9178</v>
      </c>
      <c r="D258" s="635">
        <v>17.376300000000001</v>
      </c>
      <c r="E258" s="371">
        <v>14.84</v>
      </c>
      <c r="F258" s="371">
        <f t="shared" si="111"/>
        <v>-23278.161400000005</v>
      </c>
      <c r="G258" s="371">
        <f t="shared" si="112"/>
        <v>159479.6814</v>
      </c>
      <c r="H258" s="373">
        <f t="shared" si="110"/>
        <v>-0.14596317973331496</v>
      </c>
      <c r="I258" s="371"/>
    </row>
    <row r="259" spans="2:14" x14ac:dyDescent="0.25">
      <c r="B259" s="634">
        <v>42488</v>
      </c>
      <c r="C259" s="370">
        <v>9678</v>
      </c>
      <c r="D259" s="635">
        <v>17.2287</v>
      </c>
      <c r="E259" s="371">
        <v>14.35</v>
      </c>
      <c r="F259" s="371">
        <f t="shared" si="111"/>
        <v>-27860.058600000004</v>
      </c>
      <c r="G259" s="371">
        <f t="shared" si="112"/>
        <v>166739.35860000001</v>
      </c>
      <c r="H259" s="373">
        <f t="shared" si="110"/>
        <v>-0.16708747612994598</v>
      </c>
      <c r="I259" s="371"/>
    </row>
    <row r="260" spans="2:14" x14ac:dyDescent="0.25">
      <c r="B260" s="634">
        <v>42489</v>
      </c>
      <c r="C260" s="370">
        <v>9678</v>
      </c>
      <c r="D260" s="635">
        <v>17.179200000000002</v>
      </c>
      <c r="E260" s="371">
        <v>14.09</v>
      </c>
      <c r="F260" s="371">
        <f t="shared" si="111"/>
        <v>-29897.277600000016</v>
      </c>
      <c r="G260" s="371">
        <f t="shared" si="112"/>
        <v>166260.29760000002</v>
      </c>
      <c r="H260" s="373">
        <f t="shared" si="110"/>
        <v>-0.17982211045916</v>
      </c>
      <c r="I260" s="371"/>
      <c r="N260" s="70"/>
    </row>
    <row r="261" spans="2:14" x14ac:dyDescent="0.25">
      <c r="B261" s="634">
        <v>42492</v>
      </c>
      <c r="C261" s="370">
        <v>9678</v>
      </c>
      <c r="D261" s="635">
        <v>17.136399999999998</v>
      </c>
      <c r="E261" s="371">
        <v>13.55</v>
      </c>
      <c r="F261" s="371">
        <f t="shared" si="111"/>
        <v>-34709.179199999977</v>
      </c>
      <c r="G261" s="371">
        <f t="shared" si="112"/>
        <v>165846.07919999998</v>
      </c>
      <c r="H261" s="373">
        <f t="shared" si="110"/>
        <v>-0.20928549753740563</v>
      </c>
      <c r="I261" s="371"/>
    </row>
    <row r="262" spans="2:14" x14ac:dyDescent="0.25">
      <c r="B262" s="634">
        <v>42493</v>
      </c>
      <c r="C262" s="370">
        <v>9678</v>
      </c>
      <c r="D262" s="635">
        <v>17.1221</v>
      </c>
      <c r="E262" s="371">
        <v>12.79</v>
      </c>
      <c r="F262" s="371">
        <f t="shared" si="111"/>
        <v>-41926.063800000004</v>
      </c>
      <c r="G262" s="371">
        <f t="shared" si="112"/>
        <v>165707.6838</v>
      </c>
      <c r="H262" s="373">
        <f t="shared" si="110"/>
        <v>-0.25301218892542388</v>
      </c>
      <c r="I262" s="371"/>
    </row>
    <row r="263" spans="2:14" x14ac:dyDescent="0.25">
      <c r="B263" s="634">
        <v>42494</v>
      </c>
      <c r="C263" s="370">
        <v>11678</v>
      </c>
      <c r="D263" s="635">
        <v>16.316800000000001</v>
      </c>
      <c r="E263" s="371">
        <v>12.17</v>
      </c>
      <c r="F263" s="371">
        <f t="shared" si="111"/>
        <v>-48426.330400000006</v>
      </c>
      <c r="G263" s="371">
        <f t="shared" si="112"/>
        <v>190547.59040000002</v>
      </c>
      <c r="H263" s="373">
        <f t="shared" si="110"/>
        <v>-0.25414296920964896</v>
      </c>
      <c r="I263" s="371"/>
    </row>
    <row r="264" spans="2:14" x14ac:dyDescent="0.25">
      <c r="B264" s="634">
        <v>42495</v>
      </c>
      <c r="C264" s="370">
        <v>9678</v>
      </c>
      <c r="D264" s="635">
        <v>17.0684</v>
      </c>
      <c r="E264" s="371">
        <v>12.07</v>
      </c>
      <c r="F264" s="371">
        <f t="shared" si="111"/>
        <v>-48374.515200000002</v>
      </c>
      <c r="G264" s="371">
        <f t="shared" si="112"/>
        <v>165187.97520000002</v>
      </c>
      <c r="H264" s="372">
        <f t="shared" si="110"/>
        <v>-0.29284525790349419</v>
      </c>
      <c r="I264" s="371"/>
    </row>
    <row r="265" spans="2:14" x14ac:dyDescent="0.25">
      <c r="B265" s="634">
        <v>42499</v>
      </c>
      <c r="C265" s="370">
        <v>10678</v>
      </c>
      <c r="D265" s="635">
        <v>16.537600000000001</v>
      </c>
      <c r="E265" s="371">
        <v>11.44</v>
      </c>
      <c r="F265" s="371">
        <f t="shared" si="111"/>
        <v>-54432.172800000015</v>
      </c>
      <c r="G265" s="371">
        <f t="shared" si="112"/>
        <v>176588.49280000001</v>
      </c>
      <c r="H265" s="372">
        <f t="shared" si="110"/>
        <v>-0.30824303405572762</v>
      </c>
      <c r="I265" s="371"/>
    </row>
    <row r="266" spans="2:14" x14ac:dyDescent="0.25">
      <c r="B266" s="634">
        <v>42500</v>
      </c>
      <c r="C266" s="370">
        <v>9678</v>
      </c>
      <c r="D266" s="635">
        <v>17.042100000000001</v>
      </c>
      <c r="E266" s="371">
        <v>11.94</v>
      </c>
      <c r="F266" s="371">
        <f t="shared" si="111"/>
        <v>-49378.123800000016</v>
      </c>
      <c r="G266" s="371">
        <f t="shared" si="112"/>
        <v>164933.44380000001</v>
      </c>
      <c r="H266" s="372">
        <f t="shared" si="110"/>
        <v>-0.2993821184009014</v>
      </c>
      <c r="I266" s="371"/>
    </row>
    <row r="267" spans="2:14" x14ac:dyDescent="0.25">
      <c r="B267" s="634">
        <v>42502</v>
      </c>
      <c r="C267" s="370">
        <v>10678</v>
      </c>
      <c r="D267" s="635">
        <v>16.601800000000001</v>
      </c>
      <c r="E267" s="371">
        <v>12.33</v>
      </c>
      <c r="F267" s="371">
        <f t="shared" si="111"/>
        <v>-45614.280400000011</v>
      </c>
      <c r="G267" s="371">
        <f t="shared" si="112"/>
        <v>177274.02040000001</v>
      </c>
      <c r="H267" s="372">
        <f t="shared" si="110"/>
        <v>-0.25730944837306802</v>
      </c>
      <c r="I267" s="371"/>
    </row>
    <row r="268" spans="2:14" x14ac:dyDescent="0.25">
      <c r="B268" s="634">
        <v>42502</v>
      </c>
      <c r="C268" s="370">
        <v>9678</v>
      </c>
      <c r="D268" s="635">
        <v>17.0334</v>
      </c>
      <c r="E268" s="371">
        <v>12.33</v>
      </c>
      <c r="F268" s="371">
        <f t="shared" si="111"/>
        <v>-45519.5052</v>
      </c>
      <c r="G268" s="371">
        <f t="shared" si="112"/>
        <v>164849.2452</v>
      </c>
      <c r="H268" s="372">
        <f t="shared" si="110"/>
        <v>-0.27612807777660364</v>
      </c>
      <c r="I268" s="371"/>
    </row>
    <row r="269" spans="2:14" x14ac:dyDescent="0.25">
      <c r="B269" s="634">
        <v>42503</v>
      </c>
      <c r="C269" s="370">
        <v>9678</v>
      </c>
      <c r="D269" s="635">
        <v>17.029299999999999</v>
      </c>
      <c r="E269" s="371">
        <v>12.3</v>
      </c>
      <c r="F269" s="371">
        <f t="shared" si="111"/>
        <v>-45770.165399999983</v>
      </c>
      <c r="G269" s="371">
        <f t="shared" si="112"/>
        <v>164809.56539999999</v>
      </c>
      <c r="H269" s="372">
        <f t="shared" si="110"/>
        <v>-0.27771546687180321</v>
      </c>
      <c r="I269" s="371"/>
    </row>
    <row r="270" spans="2:14" x14ac:dyDescent="0.25">
      <c r="B270" s="634">
        <v>42506</v>
      </c>
      <c r="C270" s="370">
        <v>9678</v>
      </c>
      <c r="D270" s="635">
        <v>17.027699999999999</v>
      </c>
      <c r="E270" s="371">
        <v>12.78</v>
      </c>
      <c r="F270" s="371">
        <f t="shared" si="111"/>
        <v>-41109.240599999997</v>
      </c>
      <c r="G270" s="371">
        <f t="shared" si="112"/>
        <v>164794.08059999999</v>
      </c>
      <c r="H270" s="372">
        <f t="shared" si="110"/>
        <v>-0.24945823569830336</v>
      </c>
      <c r="I270" s="371"/>
    </row>
    <row r="271" spans="2:14" x14ac:dyDescent="0.25">
      <c r="B271" s="634">
        <v>42513</v>
      </c>
      <c r="C271" s="370">
        <v>9178</v>
      </c>
      <c r="D271" s="635">
        <v>17.244399999999999</v>
      </c>
      <c r="E271" s="371">
        <v>13.19</v>
      </c>
      <c r="F271" s="371">
        <f t="shared" si="111"/>
        <v>-37211.283199999991</v>
      </c>
      <c r="G271" s="371">
        <f t="shared" si="112"/>
        <v>158269.10319999998</v>
      </c>
      <c r="H271" s="372">
        <f t="shared" si="110"/>
        <v>-0.23511400802579385</v>
      </c>
      <c r="I271" s="371"/>
    </row>
    <row r="272" spans="2:14" x14ac:dyDescent="0.25">
      <c r="B272" s="634">
        <v>42514</v>
      </c>
      <c r="C272" s="370">
        <v>9678</v>
      </c>
      <c r="D272" s="635">
        <v>17.026</v>
      </c>
      <c r="E272" s="371">
        <v>13.02</v>
      </c>
      <c r="F272" s="371">
        <f t="shared" si="111"/>
        <v>-38770.067999999999</v>
      </c>
      <c r="G272" s="371">
        <f t="shared" si="112"/>
        <v>164777.628</v>
      </c>
      <c r="H272" s="372">
        <f t="shared" si="110"/>
        <v>-0.23528720779983556</v>
      </c>
      <c r="I272" s="371"/>
    </row>
    <row r="273" spans="2:14" x14ac:dyDescent="0.25">
      <c r="B273" s="634">
        <v>42515</v>
      </c>
      <c r="C273" s="370">
        <v>9178</v>
      </c>
      <c r="D273" s="635">
        <v>17.206800000000001</v>
      </c>
      <c r="E273" s="371">
        <v>13.54</v>
      </c>
      <c r="F273" s="371">
        <f t="shared" si="111"/>
        <v>-33653.890400000018</v>
      </c>
      <c r="G273" s="371">
        <f t="shared" si="112"/>
        <v>157924.0104</v>
      </c>
      <c r="H273" s="372">
        <f t="shared" si="110"/>
        <v>-0.21310179696399109</v>
      </c>
      <c r="I273" s="371"/>
    </row>
    <row r="274" spans="2:14" x14ac:dyDescent="0.25">
      <c r="B274" s="634">
        <v>42516</v>
      </c>
      <c r="C274" s="370">
        <v>9678</v>
      </c>
      <c r="D274" s="635">
        <v>17.003799999999998</v>
      </c>
      <c r="E274" s="371">
        <v>13.17</v>
      </c>
      <c r="F274" s="371">
        <f t="shared" si="111"/>
        <v>-37103.516399999986</v>
      </c>
      <c r="G274" s="371">
        <f t="shared" si="112"/>
        <v>164562.77639999997</v>
      </c>
      <c r="H274" s="372">
        <f t="shared" si="110"/>
        <v>-0.22546724849739463</v>
      </c>
      <c r="I274" s="371"/>
    </row>
    <row r="275" spans="2:14" x14ac:dyDescent="0.25">
      <c r="B275" s="634">
        <v>42517</v>
      </c>
      <c r="C275" s="370">
        <v>9678</v>
      </c>
      <c r="D275" s="635">
        <v>16.999700000000001</v>
      </c>
      <c r="E275" s="371">
        <v>12.9</v>
      </c>
      <c r="F275" s="371">
        <f t="shared" si="111"/>
        <v>-39676.8966</v>
      </c>
      <c r="G275" s="371">
        <f t="shared" si="112"/>
        <v>164523.09660000002</v>
      </c>
      <c r="H275" s="372">
        <f t="shared" si="110"/>
        <v>-0.2411630793484591</v>
      </c>
      <c r="I275" s="371"/>
    </row>
    <row r="276" spans="2:14" x14ac:dyDescent="0.25">
      <c r="B276" s="634">
        <v>42525</v>
      </c>
      <c r="C276" s="370">
        <v>9678</v>
      </c>
      <c r="D276" s="635">
        <v>16.9956</v>
      </c>
      <c r="E276" s="371">
        <v>13.32</v>
      </c>
      <c r="F276" s="371">
        <f t="shared" si="111"/>
        <v>-35572.456799999993</v>
      </c>
      <c r="G276" s="371">
        <f t="shared" si="112"/>
        <v>164483.41680000001</v>
      </c>
      <c r="H276" s="372">
        <f t="shared" si="110"/>
        <v>-0.21626773988561743</v>
      </c>
      <c r="I276" s="371"/>
    </row>
    <row r="277" spans="2:14" x14ac:dyDescent="0.25">
      <c r="B277" s="634">
        <v>42527</v>
      </c>
      <c r="C277" s="370">
        <v>8178</v>
      </c>
      <c r="D277" s="635">
        <v>17.568999999999999</v>
      </c>
      <c r="E277" s="371">
        <v>13.96</v>
      </c>
      <c r="F277" s="371">
        <f t="shared" si="111"/>
        <v>-29514.401999999984</v>
      </c>
      <c r="G277" s="371">
        <f t="shared" si="112"/>
        <v>143679.28200000001</v>
      </c>
      <c r="H277" s="372">
        <f t="shared" si="110"/>
        <v>-0.20541863509590746</v>
      </c>
      <c r="I277" s="371"/>
    </row>
    <row r="278" spans="2:14" x14ac:dyDescent="0.25">
      <c r="B278" s="634">
        <v>42528</v>
      </c>
      <c r="C278" s="370">
        <v>7678</v>
      </c>
      <c r="D278" s="635">
        <v>17.759599999999999</v>
      </c>
      <c r="E278" s="371">
        <v>14.62</v>
      </c>
      <c r="F278" s="371">
        <f t="shared" si="111"/>
        <v>-24105.848799999996</v>
      </c>
      <c r="G278" s="371">
        <f t="shared" si="112"/>
        <v>136358.20879999999</v>
      </c>
      <c r="H278" s="372">
        <f t="shared" si="110"/>
        <v>-0.17678326088425414</v>
      </c>
      <c r="I278" s="371"/>
      <c r="N278" s="70"/>
    </row>
    <row r="279" spans="2:14" x14ac:dyDescent="0.25">
      <c r="B279" s="634">
        <v>42529</v>
      </c>
      <c r="C279" s="370">
        <v>8178</v>
      </c>
      <c r="D279" s="635">
        <v>17.5654</v>
      </c>
      <c r="E279" s="371">
        <v>14.53</v>
      </c>
      <c r="F279" s="371">
        <f t="shared" si="111"/>
        <v>-24823.50120000001</v>
      </c>
      <c r="G279" s="371">
        <f t="shared" si="112"/>
        <v>143649.8412</v>
      </c>
      <c r="H279" s="372">
        <f t="shared" si="110"/>
        <v>-0.17280562924840887</v>
      </c>
      <c r="I279" s="371"/>
    </row>
    <row r="280" spans="2:14" x14ac:dyDescent="0.25">
      <c r="B280" s="634">
        <v>42531</v>
      </c>
      <c r="C280" s="370">
        <v>8978</v>
      </c>
      <c r="D280" s="635">
        <v>17.1751</v>
      </c>
      <c r="E280" s="371">
        <v>13.42</v>
      </c>
      <c r="F280" s="371">
        <f t="shared" ref="F280:F288" si="113">C280*(E280-D280)</f>
        <v>-33713.287800000006</v>
      </c>
      <c r="G280" s="371">
        <f t="shared" ref="G280:G288" si="114">IF(C280=0, 0,D280*C280)</f>
        <v>154198.0478</v>
      </c>
      <c r="H280" s="372">
        <f t="shared" ref="H280:H288" si="115">IF(C280=0, D280, (E280-D280)/D280)</f>
        <v>-0.21863628159370255</v>
      </c>
      <c r="I280" s="371"/>
    </row>
    <row r="281" spans="2:14" x14ac:dyDescent="0.25">
      <c r="B281" s="634">
        <v>42531</v>
      </c>
      <c r="C281" s="391">
        <v>9278</v>
      </c>
      <c r="D281" s="636">
        <v>17.1052</v>
      </c>
      <c r="E281" s="371">
        <v>13.42</v>
      </c>
      <c r="F281" s="371">
        <f t="shared" si="113"/>
        <v>-34191.285600000003</v>
      </c>
      <c r="G281" s="371">
        <f t="shared" si="114"/>
        <v>158702.04560000001</v>
      </c>
      <c r="H281" s="372">
        <f t="shared" si="115"/>
        <v>-0.21544325702125669</v>
      </c>
      <c r="I281" s="371"/>
    </row>
    <row r="282" spans="2:14" x14ac:dyDescent="0.25">
      <c r="B282" s="634">
        <v>42532</v>
      </c>
      <c r="C282" s="370">
        <v>9278</v>
      </c>
      <c r="D282" s="635">
        <v>17.053000000000001</v>
      </c>
      <c r="E282" s="371">
        <v>13.42</v>
      </c>
      <c r="F282" s="371">
        <f t="shared" si="113"/>
        <v>-33706.974000000009</v>
      </c>
      <c r="G282" s="371">
        <f t="shared" si="114"/>
        <v>158217.734</v>
      </c>
      <c r="H282" s="372">
        <f t="shared" si="115"/>
        <v>-0.21304169354365804</v>
      </c>
      <c r="I282" s="371" t="s">
        <v>182</v>
      </c>
    </row>
    <row r="283" spans="2:14" x14ac:dyDescent="0.25">
      <c r="B283" s="634">
        <v>42535</v>
      </c>
      <c r="C283" s="370">
        <v>9678</v>
      </c>
      <c r="D283" s="635">
        <v>16.879300000000001</v>
      </c>
      <c r="E283" s="371">
        <v>13.23</v>
      </c>
      <c r="F283" s="371">
        <f t="shared" si="113"/>
        <v>-35317.9254</v>
      </c>
      <c r="G283" s="371">
        <f t="shared" si="114"/>
        <v>163357.86540000001</v>
      </c>
      <c r="H283" s="372">
        <f t="shared" si="115"/>
        <v>-0.21619972392220058</v>
      </c>
      <c r="I283" s="371" t="s">
        <v>219</v>
      </c>
    </row>
    <row r="284" spans="2:14" x14ac:dyDescent="0.25">
      <c r="B284" s="634">
        <v>42536</v>
      </c>
      <c r="C284" s="370">
        <v>9278</v>
      </c>
      <c r="D284" s="635">
        <v>17.027999999999999</v>
      </c>
      <c r="E284" s="371">
        <v>13.06</v>
      </c>
      <c r="F284" s="371">
        <f t="shared" si="113"/>
        <v>-36815.103999999985</v>
      </c>
      <c r="G284" s="371">
        <f t="shared" si="114"/>
        <v>157985.78399999999</v>
      </c>
      <c r="H284" s="372">
        <f t="shared" si="115"/>
        <v>-0.23302795395818643</v>
      </c>
      <c r="I284" s="371"/>
    </row>
    <row r="285" spans="2:14" x14ac:dyDescent="0.25">
      <c r="B285" s="634">
        <v>42537</v>
      </c>
      <c r="C285" s="391">
        <v>9278</v>
      </c>
      <c r="D285" s="636">
        <v>17.0168</v>
      </c>
      <c r="E285" s="371">
        <v>12.67</v>
      </c>
      <c r="F285" s="371">
        <f t="shared" si="113"/>
        <v>-40329.610399999998</v>
      </c>
      <c r="G285" s="371">
        <f t="shared" si="114"/>
        <v>157881.87039999999</v>
      </c>
      <c r="H285" s="372">
        <f t="shared" si="115"/>
        <v>-0.25544168116214566</v>
      </c>
      <c r="I285" s="371"/>
    </row>
    <row r="286" spans="2:14" x14ac:dyDescent="0.25">
      <c r="B286" s="634">
        <v>42538</v>
      </c>
      <c r="C286" s="391">
        <v>9278</v>
      </c>
      <c r="D286" s="636">
        <v>17.0061</v>
      </c>
      <c r="E286" s="371">
        <v>13.16</v>
      </c>
      <c r="F286" s="371">
        <f t="shared" si="113"/>
        <v>-35684.1158</v>
      </c>
      <c r="G286" s="371">
        <f t="shared" si="114"/>
        <v>157782.59580000001</v>
      </c>
      <c r="H286" s="372">
        <f t="shared" si="115"/>
        <v>-0.2261600249322302</v>
      </c>
      <c r="I286" s="371"/>
    </row>
    <row r="287" spans="2:14" x14ac:dyDescent="0.25">
      <c r="B287" s="634">
        <v>42541</v>
      </c>
      <c r="C287" s="370">
        <v>7678</v>
      </c>
      <c r="D287" s="635">
        <v>17.568000000000001</v>
      </c>
      <c r="E287" s="371">
        <v>14.48</v>
      </c>
      <c r="F287" s="371">
        <f t="shared" si="113"/>
        <v>-23709.664000000008</v>
      </c>
      <c r="G287" s="371">
        <f t="shared" si="114"/>
        <v>134887.10400000002</v>
      </c>
      <c r="H287" s="373">
        <f t="shared" si="115"/>
        <v>-0.17577413479052828</v>
      </c>
      <c r="I287" s="371"/>
    </row>
    <row r="288" spans="2:14" x14ac:dyDescent="0.25">
      <c r="B288" s="634">
        <v>42542</v>
      </c>
      <c r="C288" s="370">
        <v>6800</v>
      </c>
      <c r="D288" s="635">
        <v>17.892099999999999</v>
      </c>
      <c r="E288" s="371">
        <v>15.09</v>
      </c>
      <c r="F288" s="371">
        <f t="shared" si="113"/>
        <v>-19054.279999999995</v>
      </c>
      <c r="G288" s="371">
        <f t="shared" si="114"/>
        <v>121666.28</v>
      </c>
      <c r="H288" s="373">
        <f t="shared" si="115"/>
        <v>-0.15661101827063337</v>
      </c>
      <c r="I288" s="371"/>
    </row>
    <row r="289" spans="2:9" x14ac:dyDescent="0.25">
      <c r="B289" s="634">
        <v>42543</v>
      </c>
      <c r="C289" s="370">
        <v>7300</v>
      </c>
      <c r="D289" s="635">
        <v>17.6769</v>
      </c>
      <c r="E289" s="371">
        <v>14.75</v>
      </c>
      <c r="F289" s="371">
        <f t="shared" ref="F289:F297" si="116">C289*(E289-D289)</f>
        <v>-21366.37</v>
      </c>
      <c r="G289" s="371">
        <f t="shared" ref="G289:G297" si="117">IF(C289=0, 0,D289*C289)</f>
        <v>129041.37</v>
      </c>
      <c r="H289" s="373">
        <f t="shared" ref="H289:H297" si="118">IF(C289=0, D289, (E289-D289)/D289)</f>
        <v>-0.16557767481854849</v>
      </c>
      <c r="I289" s="371"/>
    </row>
    <row r="290" spans="2:9" x14ac:dyDescent="0.25">
      <c r="B290" s="634">
        <v>42544</v>
      </c>
      <c r="C290" s="370">
        <v>6800</v>
      </c>
      <c r="D290" s="635">
        <v>17.856100000000001</v>
      </c>
      <c r="E290" s="371">
        <v>15.27</v>
      </c>
      <c r="F290" s="371">
        <f t="shared" si="116"/>
        <v>-17585.480000000014</v>
      </c>
      <c r="G290" s="371">
        <f t="shared" si="117"/>
        <v>121421.48000000001</v>
      </c>
      <c r="H290" s="373">
        <f t="shared" si="118"/>
        <v>-0.1448300580753917</v>
      </c>
      <c r="I290" s="371"/>
    </row>
    <row r="291" spans="2:9" x14ac:dyDescent="0.25">
      <c r="B291" s="634">
        <v>42545</v>
      </c>
      <c r="C291" s="370">
        <v>7678</v>
      </c>
      <c r="D291" s="635">
        <v>17.462</v>
      </c>
      <c r="E291" s="371">
        <v>14.41</v>
      </c>
      <c r="F291" s="371">
        <f t="shared" si="116"/>
        <v>-23433.255999999998</v>
      </c>
      <c r="G291" s="371">
        <f t="shared" si="117"/>
        <v>134073.236</v>
      </c>
      <c r="H291" s="373">
        <f t="shared" si="118"/>
        <v>-0.17477952124613444</v>
      </c>
      <c r="I291" s="371"/>
    </row>
    <row r="292" spans="2:9" x14ac:dyDescent="0.25">
      <c r="B292" s="634">
        <v>42545</v>
      </c>
      <c r="C292" s="370">
        <v>8013</v>
      </c>
      <c r="D292" s="635">
        <v>17.32</v>
      </c>
      <c r="E292" s="371">
        <v>14.68</v>
      </c>
      <c r="F292" s="371">
        <f t="shared" si="116"/>
        <v>-21154.320000000003</v>
      </c>
      <c r="G292" s="371">
        <f t="shared" si="117"/>
        <v>138785.16</v>
      </c>
      <c r="H292" s="373">
        <f t="shared" si="118"/>
        <v>-0.15242494226327949</v>
      </c>
      <c r="I292" s="371"/>
    </row>
    <row r="293" spans="2:9" x14ac:dyDescent="0.25">
      <c r="B293" s="634">
        <v>42548</v>
      </c>
      <c r="C293" s="370">
        <v>8978</v>
      </c>
      <c r="D293" s="635">
        <v>16.943300000000001</v>
      </c>
      <c r="E293" s="371">
        <v>13.66</v>
      </c>
      <c r="F293" s="371">
        <f t="shared" si="116"/>
        <v>-29477.467400000005</v>
      </c>
      <c r="G293" s="371">
        <f t="shared" si="117"/>
        <v>152116.9474</v>
      </c>
      <c r="H293" s="373">
        <f t="shared" si="118"/>
        <v>-0.19378161279089673</v>
      </c>
      <c r="I293" s="371"/>
    </row>
    <row r="294" spans="2:9" x14ac:dyDescent="0.25">
      <c r="B294" s="634">
        <v>42548</v>
      </c>
      <c r="C294" s="370">
        <v>9278</v>
      </c>
      <c r="D294" s="635">
        <v>16.834599999999998</v>
      </c>
      <c r="E294" s="371">
        <v>13.66</v>
      </c>
      <c r="F294" s="371">
        <f t="shared" si="116"/>
        <v>-29453.938799999982</v>
      </c>
      <c r="G294" s="371">
        <f t="shared" si="117"/>
        <v>156191.41879999998</v>
      </c>
      <c r="H294" s="372">
        <f t="shared" si="118"/>
        <v>-0.18857590913951019</v>
      </c>
      <c r="I294" s="371"/>
    </row>
    <row r="295" spans="2:9" x14ac:dyDescent="0.25">
      <c r="B295" s="634">
        <v>42549</v>
      </c>
      <c r="C295" s="370">
        <v>8178</v>
      </c>
      <c r="D295" s="635">
        <v>17.124400000000001</v>
      </c>
      <c r="E295" s="371">
        <v>14.78</v>
      </c>
      <c r="F295" s="371">
        <f t="shared" si="116"/>
        <v>-19172.503200000017</v>
      </c>
      <c r="G295" s="371">
        <f t="shared" si="117"/>
        <v>140043.3432</v>
      </c>
      <c r="H295" s="372">
        <f t="shared" si="118"/>
        <v>-0.13690406671182651</v>
      </c>
      <c r="I295" s="371">
        <v>17</v>
      </c>
    </row>
    <row r="296" spans="2:9" x14ac:dyDescent="0.25">
      <c r="B296" s="634">
        <v>42552</v>
      </c>
      <c r="C296" s="370">
        <v>7678</v>
      </c>
      <c r="D296" s="635">
        <v>17.2315</v>
      </c>
      <c r="E296" s="371">
        <v>15.48</v>
      </c>
      <c r="F296" s="371">
        <f t="shared" si="116"/>
        <v>-13448.017</v>
      </c>
      <c r="G296" s="371">
        <f t="shared" si="117"/>
        <v>132303.45699999999</v>
      </c>
      <c r="H296" s="372">
        <f t="shared" si="118"/>
        <v>-0.1016452427240809</v>
      </c>
      <c r="I296" s="371">
        <v>17</v>
      </c>
    </row>
    <row r="297" spans="2:9" x14ac:dyDescent="0.25">
      <c r="B297" s="634">
        <v>42552</v>
      </c>
      <c r="C297" s="370">
        <v>7300</v>
      </c>
      <c r="D297" s="635">
        <v>17.313400000000001</v>
      </c>
      <c r="E297" s="371">
        <v>15.65</v>
      </c>
      <c r="F297" s="371">
        <f t="shared" si="116"/>
        <v>-12142.820000000009</v>
      </c>
      <c r="G297" s="371">
        <f t="shared" si="117"/>
        <v>126387.82</v>
      </c>
      <c r="H297" s="372">
        <f t="shared" si="118"/>
        <v>-9.6075871868032903E-2</v>
      </c>
      <c r="I297" s="371"/>
    </row>
    <row r="298" spans="2:9" x14ac:dyDescent="0.25">
      <c r="B298" s="634">
        <v>42552</v>
      </c>
      <c r="C298" s="370">
        <v>6800</v>
      </c>
      <c r="D298" s="635">
        <v>17.446100000000001</v>
      </c>
      <c r="E298" s="371">
        <v>15.7</v>
      </c>
      <c r="F298" s="371">
        <f t="shared" ref="F298:F319" si="119">C298*(E298-D298)</f>
        <v>-11873.480000000014</v>
      </c>
      <c r="G298" s="371">
        <f t="shared" ref="G298:G319" si="120">IF(C298=0, 0,D298*C298)</f>
        <v>118633.48000000001</v>
      </c>
      <c r="H298" s="372">
        <f t="shared" ref="H298:H319" si="121">IF(C298=0, D298, (E298-D298)/D298)</f>
        <v>-0.10008540590733757</v>
      </c>
      <c r="I298" s="371"/>
    </row>
    <row r="299" spans="2:9" x14ac:dyDescent="0.25">
      <c r="B299" s="634">
        <v>42552</v>
      </c>
      <c r="C299" s="370">
        <v>6000</v>
      </c>
      <c r="D299" s="635">
        <v>17.668199999999999</v>
      </c>
      <c r="E299" s="371">
        <v>15.68</v>
      </c>
      <c r="F299" s="371">
        <f t="shared" si="119"/>
        <v>-11929.199999999995</v>
      </c>
      <c r="G299" s="371">
        <f t="shared" si="120"/>
        <v>106009.2</v>
      </c>
      <c r="H299" s="372">
        <f t="shared" si="121"/>
        <v>-0.11252985589929926</v>
      </c>
      <c r="I299" s="371"/>
    </row>
    <row r="300" spans="2:9" x14ac:dyDescent="0.25">
      <c r="B300" s="634">
        <v>42556</v>
      </c>
      <c r="C300" s="370">
        <v>8178</v>
      </c>
      <c r="D300" s="635">
        <v>16.978899999999999</v>
      </c>
      <c r="E300" s="371">
        <v>14.72</v>
      </c>
      <c r="F300" s="371">
        <f t="shared" si="119"/>
        <v>-18473.284199999991</v>
      </c>
      <c r="G300" s="371">
        <f t="shared" si="120"/>
        <v>138853.4442</v>
      </c>
      <c r="H300" s="372">
        <f t="shared" si="121"/>
        <v>-0.13304159869013887</v>
      </c>
      <c r="I300" s="371">
        <v>16.75</v>
      </c>
    </row>
    <row r="301" spans="2:9" x14ac:dyDescent="0.25">
      <c r="B301" s="634">
        <v>42556</v>
      </c>
      <c r="C301" s="370">
        <v>8678</v>
      </c>
      <c r="D301" s="635">
        <v>16.843</v>
      </c>
      <c r="E301" s="371">
        <v>14.72</v>
      </c>
      <c r="F301" s="371">
        <f t="shared" si="119"/>
        <v>-18423.393999999993</v>
      </c>
      <c r="G301" s="371">
        <f t="shared" si="120"/>
        <v>146163.554</v>
      </c>
      <c r="H301" s="372">
        <f t="shared" si="121"/>
        <v>-0.12604642878347083</v>
      </c>
      <c r="I301" s="371"/>
    </row>
    <row r="302" spans="2:9" x14ac:dyDescent="0.25">
      <c r="B302" s="634">
        <v>42557</v>
      </c>
      <c r="C302" s="370">
        <v>8178</v>
      </c>
      <c r="D302" s="635">
        <v>16.960599999999999</v>
      </c>
      <c r="E302" s="371">
        <v>14.84</v>
      </c>
      <c r="F302" s="371">
        <f t="shared" si="119"/>
        <v>-17342.266799999998</v>
      </c>
      <c r="G302" s="371">
        <f t="shared" si="120"/>
        <v>138703.7868</v>
      </c>
      <c r="H302" s="372">
        <f t="shared" si="121"/>
        <v>-0.12503095409360515</v>
      </c>
      <c r="I302" s="371">
        <v>16.75</v>
      </c>
    </row>
    <row r="303" spans="2:9" x14ac:dyDescent="0.25">
      <c r="B303" s="634">
        <v>42557</v>
      </c>
      <c r="C303" s="370">
        <v>8678</v>
      </c>
      <c r="D303" s="635">
        <v>16.835000000000001</v>
      </c>
      <c r="E303" s="371">
        <v>14.84</v>
      </c>
      <c r="F303" s="371">
        <f t="shared" si="119"/>
        <v>-17312.610000000008</v>
      </c>
      <c r="G303" s="371">
        <f t="shared" si="120"/>
        <v>146094.13</v>
      </c>
      <c r="H303" s="372">
        <f t="shared" si="121"/>
        <v>-0.11850311850311855</v>
      </c>
      <c r="I303" s="371"/>
    </row>
    <row r="304" spans="2:9" x14ac:dyDescent="0.25">
      <c r="B304" s="634">
        <v>42559</v>
      </c>
      <c r="C304" s="370">
        <v>8678</v>
      </c>
      <c r="D304" s="635">
        <v>16.835000000000001</v>
      </c>
      <c r="E304" s="371">
        <v>14.92</v>
      </c>
      <c r="F304" s="371">
        <f t="shared" si="119"/>
        <v>-16618.370000000006</v>
      </c>
      <c r="G304" s="371">
        <f t="shared" si="120"/>
        <v>146094.13</v>
      </c>
      <c r="H304" s="372">
        <f t="shared" si="121"/>
        <v>-0.1137511137511138</v>
      </c>
      <c r="I304" s="371"/>
    </row>
    <row r="305" spans="2:14" x14ac:dyDescent="0.25">
      <c r="B305" s="634">
        <v>42562</v>
      </c>
      <c r="C305" s="370">
        <v>8678</v>
      </c>
      <c r="D305" s="635">
        <v>16.835000000000001</v>
      </c>
      <c r="E305" s="371">
        <v>14.69</v>
      </c>
      <c r="F305" s="371">
        <f t="shared" si="119"/>
        <v>-18614.310000000012</v>
      </c>
      <c r="G305" s="371">
        <f t="shared" si="120"/>
        <v>146094.13</v>
      </c>
      <c r="H305" s="372">
        <f t="shared" si="121"/>
        <v>-0.12741312741312749</v>
      </c>
      <c r="I305" s="371"/>
    </row>
    <row r="306" spans="2:14" x14ac:dyDescent="0.25">
      <c r="B306" s="634">
        <v>42563</v>
      </c>
      <c r="C306" s="370">
        <v>8678</v>
      </c>
      <c r="D306" s="635">
        <v>16.835000000000001</v>
      </c>
      <c r="E306" s="371">
        <v>15.6</v>
      </c>
      <c r="F306" s="371">
        <f t="shared" si="119"/>
        <v>-10717.330000000011</v>
      </c>
      <c r="G306" s="371">
        <f t="shared" si="120"/>
        <v>146094.13</v>
      </c>
      <c r="H306" s="372">
        <f t="shared" si="121"/>
        <v>-7.3359073359073421E-2</v>
      </c>
      <c r="I306" s="371"/>
    </row>
    <row r="307" spans="2:14" x14ac:dyDescent="0.25">
      <c r="B307" s="634">
        <v>42564</v>
      </c>
      <c r="C307" s="370">
        <v>8738</v>
      </c>
      <c r="D307" s="635">
        <v>16.816099999999999</v>
      </c>
      <c r="E307" s="371">
        <v>15.29</v>
      </c>
      <c r="F307" s="371">
        <f t="shared" si="119"/>
        <v>-13335.061799999996</v>
      </c>
      <c r="G307" s="371">
        <f t="shared" si="120"/>
        <v>146939.08179999999</v>
      </c>
      <c r="H307" s="372">
        <f t="shared" si="121"/>
        <v>-9.0752314745987453E-2</v>
      </c>
      <c r="I307" s="371"/>
    </row>
    <row r="308" spans="2:14" x14ac:dyDescent="0.25">
      <c r="B308" s="634">
        <v>42566</v>
      </c>
      <c r="C308" s="370">
        <v>8738</v>
      </c>
      <c r="D308" s="635">
        <v>16.816099999999999</v>
      </c>
      <c r="E308" s="371">
        <v>15.21</v>
      </c>
      <c r="F308" s="371">
        <f t="shared" si="119"/>
        <v>-14034.101799999982</v>
      </c>
      <c r="G308" s="371">
        <f t="shared" si="120"/>
        <v>146939.08179999999</v>
      </c>
      <c r="H308" s="372">
        <f t="shared" si="121"/>
        <v>-9.5509660384988079E-2</v>
      </c>
      <c r="I308" s="371"/>
    </row>
    <row r="309" spans="2:14" x14ac:dyDescent="0.25">
      <c r="B309" s="634">
        <v>42570</v>
      </c>
      <c r="C309" s="370">
        <v>9138</v>
      </c>
      <c r="D309" s="635">
        <v>16.733499999999999</v>
      </c>
      <c r="E309" s="371">
        <v>14.75</v>
      </c>
      <c r="F309" s="371">
        <f t="shared" si="119"/>
        <v>-18125.222999999994</v>
      </c>
      <c r="G309" s="371">
        <f t="shared" si="120"/>
        <v>152910.723</v>
      </c>
      <c r="H309" s="372">
        <f t="shared" si="121"/>
        <v>-0.1185346759494427</v>
      </c>
      <c r="I309" s="371"/>
      <c r="N309" s="29"/>
    </row>
    <row r="310" spans="2:14" x14ac:dyDescent="0.25">
      <c r="B310" s="634">
        <v>42571</v>
      </c>
      <c r="C310" s="391">
        <v>9138</v>
      </c>
      <c r="D310" s="636">
        <v>16.7227</v>
      </c>
      <c r="E310" s="371">
        <v>14.84</v>
      </c>
      <c r="F310" s="371">
        <f t="shared" si="119"/>
        <v>-17204.112599999997</v>
      </c>
      <c r="G310" s="371">
        <f t="shared" si="120"/>
        <v>152812.03260000001</v>
      </c>
      <c r="H310" s="372">
        <f t="shared" si="121"/>
        <v>-0.11258349429218965</v>
      </c>
      <c r="I310" s="371"/>
    </row>
    <row r="311" spans="2:14" x14ac:dyDescent="0.25">
      <c r="B311" s="634">
        <v>42572</v>
      </c>
      <c r="C311" s="370">
        <v>9138</v>
      </c>
      <c r="D311" s="635">
        <v>16.718900000000001</v>
      </c>
      <c r="E311" s="371">
        <v>14.42</v>
      </c>
      <c r="F311" s="371">
        <f t="shared" si="119"/>
        <v>-21007.348200000015</v>
      </c>
      <c r="G311" s="371">
        <f t="shared" si="120"/>
        <v>152777.3082</v>
      </c>
      <c r="H311" s="372">
        <f t="shared" si="121"/>
        <v>-0.13750306539305823</v>
      </c>
      <c r="I311" s="371"/>
    </row>
    <row r="312" spans="2:14" x14ac:dyDescent="0.25">
      <c r="B312" s="634">
        <v>42573</v>
      </c>
      <c r="C312" s="370">
        <v>9278</v>
      </c>
      <c r="D312" s="635">
        <v>16.679099999999998</v>
      </c>
      <c r="E312" s="371">
        <v>14.11</v>
      </c>
      <c r="F312" s="371">
        <f t="shared" si="119"/>
        <v>-23836.109799999987</v>
      </c>
      <c r="G312" s="371">
        <f t="shared" si="120"/>
        <v>154748.68979999999</v>
      </c>
      <c r="H312" s="372">
        <f t="shared" si="121"/>
        <v>-0.15403109280476759</v>
      </c>
      <c r="I312" s="371"/>
    </row>
    <row r="313" spans="2:14" ht="15" customHeight="1" x14ac:dyDescent="0.25">
      <c r="B313" s="634">
        <v>42576</v>
      </c>
      <c r="C313" s="370">
        <v>9478</v>
      </c>
      <c r="D313" s="635">
        <v>16.613099999999999</v>
      </c>
      <c r="E313" s="371">
        <v>13.58</v>
      </c>
      <c r="F313" s="371">
        <f t="shared" si="119"/>
        <v>-28747.721799999992</v>
      </c>
      <c r="G313" s="371">
        <f t="shared" si="120"/>
        <v>157458.96179999999</v>
      </c>
      <c r="H313" s="372">
        <f t="shared" si="121"/>
        <v>-0.18257278894366491</v>
      </c>
      <c r="I313" s="371"/>
    </row>
    <row r="314" spans="2:14" x14ac:dyDescent="0.25">
      <c r="B314" s="634">
        <v>42577</v>
      </c>
      <c r="C314" s="391">
        <v>9278</v>
      </c>
      <c r="D314" s="636">
        <v>16.674199999999999</v>
      </c>
      <c r="E314" s="371">
        <v>13.78</v>
      </c>
      <c r="F314" s="371">
        <f t="shared" si="119"/>
        <v>-26852.387599999998</v>
      </c>
      <c r="G314" s="371">
        <f t="shared" si="120"/>
        <v>154703.22759999998</v>
      </c>
      <c r="H314" s="372">
        <f t="shared" si="121"/>
        <v>-0.17357354475776948</v>
      </c>
      <c r="I314" s="371">
        <v>16.53</v>
      </c>
    </row>
    <row r="315" spans="2:14" x14ac:dyDescent="0.25">
      <c r="B315" s="634">
        <v>42578</v>
      </c>
      <c r="C315" s="391">
        <v>9478</v>
      </c>
      <c r="D315" s="636">
        <v>16.6004</v>
      </c>
      <c r="E315" s="371">
        <v>13.13</v>
      </c>
      <c r="F315" s="371">
        <f t="shared" si="119"/>
        <v>-32892.451199999996</v>
      </c>
      <c r="G315" s="371">
        <f t="shared" si="120"/>
        <v>157338.5912</v>
      </c>
      <c r="H315" s="372">
        <f t="shared" si="121"/>
        <v>-0.20905520348907253</v>
      </c>
      <c r="I315" s="371"/>
    </row>
    <row r="316" spans="2:14" x14ac:dyDescent="0.25">
      <c r="B316" s="634">
        <v>42580</v>
      </c>
      <c r="C316" s="370">
        <v>9478</v>
      </c>
      <c r="D316" s="635">
        <v>16.599</v>
      </c>
      <c r="E316" s="371">
        <v>13.64</v>
      </c>
      <c r="F316" s="371">
        <f t="shared" si="119"/>
        <v>-28045.401999999998</v>
      </c>
      <c r="G316" s="371">
        <f t="shared" si="120"/>
        <v>157325.32200000001</v>
      </c>
      <c r="H316" s="373">
        <f t="shared" si="121"/>
        <v>-0.17826375082836313</v>
      </c>
      <c r="I316" s="371"/>
    </row>
    <row r="317" spans="2:14" x14ac:dyDescent="0.25">
      <c r="B317" s="634">
        <v>42580</v>
      </c>
      <c r="C317" s="370">
        <v>9278</v>
      </c>
      <c r="D317" s="635">
        <v>16.664000000000001</v>
      </c>
      <c r="E317" s="371">
        <v>13.64</v>
      </c>
      <c r="F317" s="371">
        <f t="shared" si="119"/>
        <v>-28056.67200000001</v>
      </c>
      <c r="G317" s="371">
        <f t="shared" si="120"/>
        <v>154608.592</v>
      </c>
      <c r="H317" s="373">
        <f t="shared" si="121"/>
        <v>-0.18146903504560732</v>
      </c>
      <c r="I317" s="371">
        <v>16.53</v>
      </c>
    </row>
    <row r="318" spans="2:14" x14ac:dyDescent="0.25">
      <c r="B318" s="634">
        <v>42583</v>
      </c>
      <c r="C318" s="370">
        <v>9478</v>
      </c>
      <c r="D318" s="635">
        <v>16.5871</v>
      </c>
      <c r="E318" s="371">
        <v>12.92</v>
      </c>
      <c r="F318" s="371">
        <f t="shared" si="119"/>
        <v>-34756.773799999995</v>
      </c>
      <c r="G318" s="371">
        <f t="shared" si="120"/>
        <v>157212.5338</v>
      </c>
      <c r="H318" s="373">
        <f t="shared" si="121"/>
        <v>-0.22108144280796521</v>
      </c>
      <c r="I318" s="371"/>
    </row>
    <row r="319" spans="2:14" x14ac:dyDescent="0.25">
      <c r="B319" s="634">
        <v>42584</v>
      </c>
      <c r="C319" s="370">
        <v>9678</v>
      </c>
      <c r="D319" s="635">
        <v>16.5063</v>
      </c>
      <c r="E319" s="371">
        <v>12.9</v>
      </c>
      <c r="F319" s="371">
        <f t="shared" si="119"/>
        <v>-34901.771399999991</v>
      </c>
      <c r="G319" s="371">
        <f t="shared" si="120"/>
        <v>159747.97140000001</v>
      </c>
      <c r="H319" s="373">
        <f t="shared" si="121"/>
        <v>-0.21848021664455386</v>
      </c>
      <c r="I319" s="371"/>
    </row>
    <row r="320" spans="2:14" x14ac:dyDescent="0.25">
      <c r="B320" s="634">
        <v>42585</v>
      </c>
      <c r="C320" s="370">
        <v>10078</v>
      </c>
      <c r="D320" s="635">
        <v>16.5063</v>
      </c>
      <c r="E320" s="371">
        <v>12.9</v>
      </c>
      <c r="F320" s="371">
        <f t="shared" ref="F320:F335" si="122">C320*(E320-D320)</f>
        <v>-36344.291399999995</v>
      </c>
      <c r="G320" s="371">
        <f t="shared" ref="G320:G335" si="123">IF(C320=0, 0,D320*C320)</f>
        <v>166350.4914</v>
      </c>
      <c r="H320" s="373">
        <f t="shared" ref="H320:H335" si="124">IF(C320=0, D320, (E320-D320)/D320)</f>
        <v>-0.21848021664455386</v>
      </c>
      <c r="I320" s="371"/>
    </row>
    <row r="321" spans="2:9" x14ac:dyDescent="0.25">
      <c r="B321" s="634">
        <v>42586</v>
      </c>
      <c r="C321" s="370">
        <v>9678</v>
      </c>
      <c r="D321" s="635">
        <v>16.489799999999999</v>
      </c>
      <c r="E321" s="371">
        <v>13.41</v>
      </c>
      <c r="F321" s="371">
        <f t="shared" si="122"/>
        <v>-29806.304399999986</v>
      </c>
      <c r="G321" s="371">
        <f t="shared" si="123"/>
        <v>159588.28439999997</v>
      </c>
      <c r="H321" s="373">
        <f t="shared" si="124"/>
        <v>-0.1867700032747516</v>
      </c>
      <c r="I321" s="371"/>
    </row>
    <row r="322" spans="2:9" x14ac:dyDescent="0.25">
      <c r="B322" s="634">
        <v>42586</v>
      </c>
      <c r="C322" s="370">
        <v>9278</v>
      </c>
      <c r="D322" s="635">
        <v>16.609200000000001</v>
      </c>
      <c r="E322" s="371">
        <v>13.66</v>
      </c>
      <c r="F322" s="371">
        <f t="shared" si="122"/>
        <v>-27362.67760000001</v>
      </c>
      <c r="G322" s="371">
        <f t="shared" si="123"/>
        <v>154100.15760000001</v>
      </c>
      <c r="H322" s="373">
        <f t="shared" si="124"/>
        <v>-0.17756424150470829</v>
      </c>
      <c r="I322" s="371">
        <v>16.53</v>
      </c>
    </row>
    <row r="323" spans="2:9" x14ac:dyDescent="0.25">
      <c r="B323" s="634">
        <v>42586</v>
      </c>
      <c r="C323" s="370">
        <v>9138</v>
      </c>
      <c r="D323" s="635">
        <v>16.6511</v>
      </c>
      <c r="E323" s="371">
        <v>13.87</v>
      </c>
      <c r="F323" s="371">
        <f t="shared" si="122"/>
        <v>-25413.691800000004</v>
      </c>
      <c r="G323" s="371">
        <f t="shared" si="123"/>
        <v>152157.7518</v>
      </c>
      <c r="H323" s="372">
        <f t="shared" si="124"/>
        <v>-0.1670219985466426</v>
      </c>
      <c r="I323" s="371"/>
    </row>
    <row r="324" spans="2:9" x14ac:dyDescent="0.25">
      <c r="B324" s="634">
        <v>42593</v>
      </c>
      <c r="C324" s="370">
        <v>8678</v>
      </c>
      <c r="D324" s="635">
        <v>16.760300000000001</v>
      </c>
      <c r="E324" s="371">
        <v>14.61</v>
      </c>
      <c r="F324" s="371">
        <f t="shared" si="122"/>
        <v>-18660.303400000012</v>
      </c>
      <c r="G324" s="371">
        <f t="shared" si="123"/>
        <v>145445.88340000002</v>
      </c>
      <c r="H324" s="372">
        <f t="shared" si="124"/>
        <v>-0.12829722618330228</v>
      </c>
      <c r="I324" s="371"/>
    </row>
    <row r="325" spans="2:9" x14ac:dyDescent="0.25">
      <c r="B325" s="634">
        <v>42597</v>
      </c>
      <c r="C325" s="370">
        <v>8678</v>
      </c>
      <c r="D325" s="635">
        <v>16.7471</v>
      </c>
      <c r="E325" s="371">
        <v>14.9</v>
      </c>
      <c r="F325" s="371">
        <f t="shared" si="122"/>
        <v>-16029.133799999994</v>
      </c>
      <c r="G325" s="371">
        <f t="shared" si="123"/>
        <v>145331.33379999999</v>
      </c>
      <c r="H325" s="372">
        <f t="shared" si="124"/>
        <v>-0.11029372249523794</v>
      </c>
      <c r="I325" s="371"/>
    </row>
    <row r="326" spans="2:9" x14ac:dyDescent="0.25">
      <c r="B326" s="634">
        <v>42598</v>
      </c>
      <c r="C326" s="370">
        <v>8178</v>
      </c>
      <c r="D326" s="635">
        <v>16.8429</v>
      </c>
      <c r="E326" s="371">
        <v>15.17</v>
      </c>
      <c r="F326" s="371">
        <f t="shared" si="122"/>
        <v>-13680.976200000003</v>
      </c>
      <c r="G326" s="371">
        <f t="shared" si="123"/>
        <v>137741.23620000001</v>
      </c>
      <c r="H326" s="372">
        <f t="shared" si="124"/>
        <v>-9.9323750660515728E-2</v>
      </c>
      <c r="I326" s="371">
        <v>16.75</v>
      </c>
    </row>
    <row r="327" spans="2:9" x14ac:dyDescent="0.25">
      <c r="B327" s="634">
        <v>42599</v>
      </c>
      <c r="C327" s="370">
        <v>7178</v>
      </c>
      <c r="D327" s="635">
        <v>17.009899999999998</v>
      </c>
      <c r="E327" s="371">
        <v>15.7</v>
      </c>
      <c r="F327" s="371">
        <f t="shared" si="122"/>
        <v>-9402.4621999999927</v>
      </c>
      <c r="G327" s="371">
        <f t="shared" si="123"/>
        <v>122097.06219999999</v>
      </c>
      <c r="H327" s="372">
        <f t="shared" si="124"/>
        <v>-7.7008095285686515E-2</v>
      </c>
      <c r="I327" s="371"/>
    </row>
    <row r="328" spans="2:9" x14ac:dyDescent="0.25">
      <c r="B328" s="634">
        <v>42600</v>
      </c>
      <c r="C328" s="370">
        <v>5500</v>
      </c>
      <c r="D328" s="635">
        <v>17.185600000000001</v>
      </c>
      <c r="E328" s="371">
        <v>16.68</v>
      </c>
      <c r="F328" s="371">
        <f t="shared" si="122"/>
        <v>-2780.8000000000065</v>
      </c>
      <c r="G328" s="371">
        <f t="shared" si="123"/>
        <v>94520.8</v>
      </c>
      <c r="H328" s="372">
        <f t="shared" si="124"/>
        <v>-2.9419979517735846E-2</v>
      </c>
      <c r="I328" s="371"/>
    </row>
    <row r="329" spans="2:9" x14ac:dyDescent="0.25">
      <c r="B329" s="634">
        <v>42601</v>
      </c>
      <c r="C329" s="370">
        <v>5000</v>
      </c>
      <c r="D329" s="635">
        <v>17.222200000000001</v>
      </c>
      <c r="E329" s="371">
        <v>16.8</v>
      </c>
      <c r="F329" s="371">
        <f t="shared" si="122"/>
        <v>-2111.0000000000005</v>
      </c>
      <c r="G329" s="371">
        <f t="shared" si="123"/>
        <v>86111</v>
      </c>
      <c r="H329" s="372">
        <f t="shared" si="124"/>
        <v>-2.4514870341768188E-2</v>
      </c>
      <c r="I329" s="371"/>
    </row>
    <row r="330" spans="2:9" x14ac:dyDescent="0.25">
      <c r="B330" s="634">
        <v>42604</v>
      </c>
      <c r="C330" s="370">
        <v>6000</v>
      </c>
      <c r="D330" s="635">
        <v>16.9651</v>
      </c>
      <c r="E330" s="371">
        <v>15.64</v>
      </c>
      <c r="F330" s="371">
        <f t="shared" si="122"/>
        <v>-7950.599999999994</v>
      </c>
      <c r="G330" s="371">
        <f t="shared" si="123"/>
        <v>101790.59999999999</v>
      </c>
      <c r="H330" s="372">
        <f t="shared" si="124"/>
        <v>-7.8107408739117312E-2</v>
      </c>
      <c r="I330" s="371"/>
    </row>
    <row r="331" spans="2:9" x14ac:dyDescent="0.25">
      <c r="B331" s="634">
        <v>42604</v>
      </c>
      <c r="C331" s="370">
        <v>6500</v>
      </c>
      <c r="D331" s="635">
        <v>16.850899999999999</v>
      </c>
      <c r="E331" s="371">
        <v>15.64</v>
      </c>
      <c r="F331" s="371">
        <f t="shared" si="122"/>
        <v>-7870.8499999999922</v>
      </c>
      <c r="G331" s="371">
        <f t="shared" si="123"/>
        <v>109530.84999999999</v>
      </c>
      <c r="H331" s="372">
        <f t="shared" si="124"/>
        <v>-7.1859663282079822E-2</v>
      </c>
      <c r="I331" s="371"/>
    </row>
    <row r="332" spans="2:9" x14ac:dyDescent="0.25">
      <c r="B332" s="634">
        <v>42605</v>
      </c>
      <c r="C332" s="370">
        <v>6000</v>
      </c>
      <c r="D332" s="635">
        <v>16.923500000000001</v>
      </c>
      <c r="E332" s="371">
        <v>16.43</v>
      </c>
      <c r="F332" s="371">
        <f t="shared" si="122"/>
        <v>-2961.0000000000055</v>
      </c>
      <c r="G332" s="371">
        <f t="shared" si="123"/>
        <v>101541</v>
      </c>
      <c r="H332" s="372">
        <f t="shared" si="124"/>
        <v>-2.9160634620498178E-2</v>
      </c>
      <c r="I332" s="371"/>
    </row>
    <row r="333" spans="2:9" x14ac:dyDescent="0.25">
      <c r="B333" s="634">
        <v>42605</v>
      </c>
      <c r="C333" s="370">
        <v>5500</v>
      </c>
      <c r="D333" s="635">
        <v>16.9848</v>
      </c>
      <c r="E333" s="371">
        <v>16.43</v>
      </c>
      <c r="F333" s="371">
        <f t="shared" si="122"/>
        <v>-3051.400000000001</v>
      </c>
      <c r="G333" s="371">
        <f t="shared" si="123"/>
        <v>93416.4</v>
      </c>
      <c r="H333" s="372">
        <f t="shared" si="124"/>
        <v>-3.266450002355048E-2</v>
      </c>
      <c r="I333" s="371"/>
    </row>
    <row r="334" spans="2:9" x14ac:dyDescent="0.25">
      <c r="B334" s="634">
        <v>42605</v>
      </c>
      <c r="C334" s="370">
        <v>5000</v>
      </c>
      <c r="D334" s="635">
        <v>17.035299999999999</v>
      </c>
      <c r="E334" s="371">
        <v>16.43</v>
      </c>
      <c r="F334" s="371">
        <f t="shared" si="122"/>
        <v>-3026.4999999999986</v>
      </c>
      <c r="G334" s="371">
        <f t="shared" si="123"/>
        <v>85176.5</v>
      </c>
      <c r="H334" s="372">
        <f t="shared" si="124"/>
        <v>-3.5532100990296606E-2</v>
      </c>
      <c r="I334" s="371"/>
    </row>
    <row r="335" spans="2:9" x14ac:dyDescent="0.25">
      <c r="B335" s="634">
        <v>42606</v>
      </c>
      <c r="C335" s="370">
        <v>5178</v>
      </c>
      <c r="D335" s="635">
        <v>17.0017</v>
      </c>
      <c r="E335" s="371">
        <v>16.059999999999999</v>
      </c>
      <c r="F335" s="371">
        <f t="shared" si="122"/>
        <v>-4876.1226000000042</v>
      </c>
      <c r="G335" s="371">
        <f t="shared" si="123"/>
        <v>88034.802599999995</v>
      </c>
      <c r="H335" s="372">
        <f t="shared" si="124"/>
        <v>-5.5388578789179958E-2</v>
      </c>
      <c r="I335" s="371"/>
    </row>
    <row r="336" spans="2:9" x14ac:dyDescent="0.25">
      <c r="B336" s="634">
        <v>42607</v>
      </c>
      <c r="C336" s="370">
        <v>5178</v>
      </c>
      <c r="D336" s="635">
        <v>17.0017</v>
      </c>
      <c r="E336" s="371">
        <v>16.010000000000002</v>
      </c>
      <c r="F336" s="371">
        <f>C336*(E336-D336)</f>
        <v>-5135.0225999999902</v>
      </c>
      <c r="G336" s="371">
        <f>IF(C336=0, 0,D336*C336)</f>
        <v>88034.802599999995</v>
      </c>
      <c r="H336" s="372">
        <f>IF(C336=0, D336, (E336-D336)/D336)</f>
        <v>-5.8329461171529789E-2</v>
      </c>
      <c r="I336" s="371"/>
    </row>
    <row r="337" spans="2:9" x14ac:dyDescent="0.25">
      <c r="B337" s="634">
        <v>42608</v>
      </c>
      <c r="C337" s="370">
        <v>6178</v>
      </c>
      <c r="D337" s="635">
        <v>16.825800000000001</v>
      </c>
      <c r="E337" s="371">
        <v>15.95</v>
      </c>
      <c r="F337" s="371">
        <f>C337*(E337-D337)</f>
        <v>-5410.6924000000108</v>
      </c>
      <c r="G337" s="371">
        <f>IF(C337=0, 0,D337*C337)</f>
        <v>103949.79240000001</v>
      </c>
      <c r="H337" s="372">
        <f>IF(C337=0, D337, (E337-D337)/D337)</f>
        <v>-5.2051016890727435E-2</v>
      </c>
      <c r="I337" s="371"/>
    </row>
    <row r="338" spans="2:9" x14ac:dyDescent="0.25">
      <c r="B338" s="634">
        <v>42611</v>
      </c>
      <c r="C338" s="370">
        <v>6178</v>
      </c>
      <c r="D338" s="635">
        <v>16.825800000000001</v>
      </c>
      <c r="E338" s="371">
        <v>15.99</v>
      </c>
      <c r="F338" s="371">
        <f t="shared" ref="F338:F343" si="125">C338*(E338-D338)</f>
        <v>-5163.5724000000046</v>
      </c>
      <c r="G338" s="371">
        <f t="shared" ref="G338:G343" si="126">IF(C338=0, 0,D338*C338)</f>
        <v>103949.79240000001</v>
      </c>
      <c r="H338" s="372">
        <f t="shared" ref="H338:H343" si="127">IF(C338=0, D338, (E338-D338)/D338)</f>
        <v>-4.9673715365688452E-2</v>
      </c>
      <c r="I338" s="371"/>
    </row>
    <row r="339" spans="2:9" x14ac:dyDescent="0.25">
      <c r="B339" s="634">
        <v>42612</v>
      </c>
      <c r="C339" s="370">
        <v>6678</v>
      </c>
      <c r="D339" s="635">
        <v>16.739999999999998</v>
      </c>
      <c r="E339" s="371">
        <v>15.55</v>
      </c>
      <c r="F339" s="453">
        <f t="shared" si="125"/>
        <v>-7946.8199999999852</v>
      </c>
      <c r="G339" s="371">
        <f t="shared" si="126"/>
        <v>111789.71999999999</v>
      </c>
      <c r="H339" s="373">
        <f t="shared" si="127"/>
        <v>-7.1087216248506446E-2</v>
      </c>
      <c r="I339" s="390"/>
    </row>
    <row r="340" spans="2:9" x14ac:dyDescent="0.25">
      <c r="B340" s="634">
        <v>42612</v>
      </c>
      <c r="C340" s="370">
        <v>7178</v>
      </c>
      <c r="D340" s="635">
        <v>16.6571</v>
      </c>
      <c r="E340" s="371">
        <v>15.55</v>
      </c>
      <c r="F340" s="371">
        <f t="shared" si="125"/>
        <v>-7946.7637999999934</v>
      </c>
      <c r="G340" s="371">
        <f t="shared" si="126"/>
        <v>119564.66379999999</v>
      </c>
      <c r="H340" s="372">
        <f t="shared" si="127"/>
        <v>-6.6464150422342369E-2</v>
      </c>
      <c r="I340" s="371"/>
    </row>
    <row r="341" spans="2:9" x14ac:dyDescent="0.25">
      <c r="B341" s="634">
        <v>42613</v>
      </c>
      <c r="C341" s="370">
        <v>7678</v>
      </c>
      <c r="D341" s="635">
        <v>16.565200000000001</v>
      </c>
      <c r="E341" s="371">
        <v>15.02</v>
      </c>
      <c r="F341" s="371">
        <f t="shared" si="125"/>
        <v>-11864.04560000001</v>
      </c>
      <c r="G341" s="371">
        <f t="shared" si="126"/>
        <v>127187.60560000001</v>
      </c>
      <c r="H341" s="372">
        <f t="shared" si="127"/>
        <v>-9.3279887957887692E-2</v>
      </c>
      <c r="I341" s="371" t="s">
        <v>260</v>
      </c>
    </row>
    <row r="342" spans="2:9" x14ac:dyDescent="0.25">
      <c r="B342" s="634">
        <v>42613</v>
      </c>
      <c r="C342" s="370">
        <v>8178</v>
      </c>
      <c r="D342" s="635">
        <v>16.474399999999999</v>
      </c>
      <c r="E342" s="371">
        <v>15.02</v>
      </c>
      <c r="F342" s="371">
        <f t="shared" si="125"/>
        <v>-11894.083199999997</v>
      </c>
      <c r="G342" s="371">
        <f t="shared" si="126"/>
        <v>134727.64319999999</v>
      </c>
      <c r="H342" s="372">
        <f t="shared" si="127"/>
        <v>-8.8282426067110162E-2</v>
      </c>
      <c r="I342" s="371" t="s">
        <v>261</v>
      </c>
    </row>
    <row r="343" spans="2:9" x14ac:dyDescent="0.25">
      <c r="B343" s="634">
        <v>42615</v>
      </c>
      <c r="C343" s="370">
        <v>7678</v>
      </c>
      <c r="D343" s="635">
        <v>16.528099999999998</v>
      </c>
      <c r="E343" s="371">
        <v>15.49</v>
      </c>
      <c r="F343" s="371">
        <f t="shared" si="125"/>
        <v>-7970.5317999999861</v>
      </c>
      <c r="G343" s="371">
        <f t="shared" si="126"/>
        <v>126902.75179999998</v>
      </c>
      <c r="H343" s="372">
        <f t="shared" si="127"/>
        <v>-6.2808187268953986E-2</v>
      </c>
      <c r="I343" s="371">
        <v>16.350000000000001</v>
      </c>
    </row>
    <row r="344" spans="2:9" x14ac:dyDescent="0.25">
      <c r="B344" s="634">
        <v>42616</v>
      </c>
      <c r="C344" s="370">
        <v>7678</v>
      </c>
      <c r="D344" s="635">
        <v>16.528099999999998</v>
      </c>
      <c r="E344" s="371">
        <v>15.64</v>
      </c>
      <c r="F344" s="371">
        <f>C344*(E344-D344)</f>
        <v>-6818.8317999999836</v>
      </c>
      <c r="G344" s="371">
        <f>IF(C344=0, 0,D344*C344)</f>
        <v>126902.75179999998</v>
      </c>
      <c r="H344" s="372">
        <f>IF(C344=0, D344, (E344-D344)/D344)</f>
        <v>-5.3732733950060681E-2</v>
      </c>
      <c r="I344" s="371"/>
    </row>
    <row r="345" spans="2:9" ht="15" customHeight="1" x14ac:dyDescent="0.25">
      <c r="B345" s="634">
        <v>42621</v>
      </c>
      <c r="C345" s="370">
        <v>7178</v>
      </c>
      <c r="D345" s="635">
        <v>16.545400000000001</v>
      </c>
      <c r="E345" s="371">
        <v>16.739999999999998</v>
      </c>
      <c r="F345" s="371">
        <f>C345*(E345-D345)</f>
        <v>1396.8387999999832</v>
      </c>
      <c r="G345" s="371">
        <f>IF(C345=0, 0,D345*C345)</f>
        <v>118762.8812</v>
      </c>
      <c r="H345" s="372">
        <f>IF(C345=0, D345, (E345-D345)/D345)</f>
        <v>1.1761577235968768E-2</v>
      </c>
      <c r="I345" s="371"/>
    </row>
    <row r="346" spans="2:9" x14ac:dyDescent="0.25">
      <c r="B346" s="634">
        <v>42621</v>
      </c>
      <c r="C346" s="391">
        <v>6678</v>
      </c>
      <c r="D346" s="636">
        <v>16.532299999999999</v>
      </c>
      <c r="E346" s="371">
        <v>16.739999999999998</v>
      </c>
      <c r="F346" s="371">
        <f>C346*(E346-D346)</f>
        <v>1387.0205999999941</v>
      </c>
      <c r="G346" s="371">
        <f>IF(C346=0, 0,D346*C346)</f>
        <v>110402.6994</v>
      </c>
      <c r="H346" s="372">
        <f>IF(C346=0, D346, (E346-D346)/D346)</f>
        <v>1.256328520532528E-2</v>
      </c>
      <c r="I346" s="371"/>
    </row>
    <row r="347" spans="2:9" x14ac:dyDescent="0.25">
      <c r="B347" s="634">
        <v>42621</v>
      </c>
      <c r="C347" s="370">
        <v>6458</v>
      </c>
      <c r="D347" s="635">
        <v>16.524263999999999</v>
      </c>
      <c r="E347" s="371">
        <v>16.739999999999998</v>
      </c>
      <c r="F347" s="371">
        <f>C347*(E347-D347)</f>
        <v>1393.2230879999981</v>
      </c>
      <c r="G347" s="371">
        <f>IF(C347=0, 0,D347*C347)</f>
        <v>106713.69691199998</v>
      </c>
      <c r="H347" s="372">
        <f>IF(C347=0, D347, (E347-D347)/D347)</f>
        <v>1.3055710075801242E-2</v>
      </c>
      <c r="I347" s="371"/>
    </row>
    <row r="348" spans="2:9" x14ac:dyDescent="0.25">
      <c r="B348" s="634">
        <v>42622</v>
      </c>
      <c r="C348" s="370">
        <v>7178</v>
      </c>
      <c r="D348" s="635">
        <v>16.477945999999999</v>
      </c>
      <c r="E348" s="371">
        <v>15.67</v>
      </c>
      <c r="F348" s="371">
        <f>C348*(E348-D348)</f>
        <v>-5799.4363879999955</v>
      </c>
      <c r="G348" s="371">
        <f>IF(C348=0, 0,D348*C348)</f>
        <v>118278.696388</v>
      </c>
      <c r="H348" s="372">
        <f>IF(C348=0, D348, (E348-D348)/D348)</f>
        <v>-4.9031960658203359E-2</v>
      </c>
      <c r="I348" s="371"/>
    </row>
    <row r="349" spans="2:9" x14ac:dyDescent="0.25">
      <c r="B349" s="634">
        <v>42622</v>
      </c>
      <c r="C349" s="370">
        <v>7678</v>
      </c>
      <c r="D349" s="635">
        <v>16.430541999999999</v>
      </c>
      <c r="E349" s="371">
        <v>15.67</v>
      </c>
      <c r="F349" s="371">
        <f t="shared" ref="F349:F355" si="128">C349*(E349-D349)</f>
        <v>-5839.4414759999936</v>
      </c>
      <c r="G349" s="371">
        <f t="shared" ref="G349:G355" si="129">IF(C349=0, 0,D349*C349)</f>
        <v>126153.70147599999</v>
      </c>
      <c r="H349" s="372">
        <f t="shared" ref="H349:H355" si="130">IF(C349=0, D349, (E349-D349)/D349)</f>
        <v>-4.6288308687564853E-2</v>
      </c>
      <c r="I349" s="371">
        <v>16.350000000000001</v>
      </c>
    </row>
    <row r="350" spans="2:9" x14ac:dyDescent="0.25">
      <c r="B350" s="634">
        <v>42625</v>
      </c>
      <c r="C350" s="391">
        <v>7678</v>
      </c>
      <c r="D350" s="636">
        <v>16.412330000000001</v>
      </c>
      <c r="E350" s="371">
        <v>15.47</v>
      </c>
      <c r="F350" s="371">
        <f t="shared" si="128"/>
        <v>-7235.2097400000011</v>
      </c>
      <c r="G350" s="371">
        <f t="shared" si="129"/>
        <v>126013.86974000001</v>
      </c>
      <c r="H350" s="372">
        <f t="shared" si="130"/>
        <v>-5.7415979327737135E-2</v>
      </c>
      <c r="I350" s="371"/>
    </row>
    <row r="351" spans="2:9" x14ac:dyDescent="0.25">
      <c r="B351" s="634">
        <v>42625</v>
      </c>
      <c r="C351" s="391">
        <v>7678</v>
      </c>
      <c r="D351" s="636">
        <v>16.355817999999999</v>
      </c>
      <c r="E351" s="371">
        <v>15.47</v>
      </c>
      <c r="F351" s="371">
        <f t="shared" si="128"/>
        <v>-6801.3106039999893</v>
      </c>
      <c r="G351" s="371">
        <f t="shared" si="129"/>
        <v>125579.970604</v>
      </c>
      <c r="H351" s="372">
        <f t="shared" si="130"/>
        <v>-5.4159198885680847E-2</v>
      </c>
      <c r="I351" s="371" t="s">
        <v>276</v>
      </c>
    </row>
    <row r="352" spans="2:9" x14ac:dyDescent="0.25">
      <c r="B352" s="634">
        <v>42626</v>
      </c>
      <c r="C352" s="370">
        <v>8278</v>
      </c>
      <c r="D352" s="635">
        <v>16.25066</v>
      </c>
      <c r="E352" s="371">
        <v>14.34</v>
      </c>
      <c r="F352" s="371">
        <f t="shared" si="128"/>
        <v>-15816.44348</v>
      </c>
      <c r="G352" s="371">
        <f t="shared" si="129"/>
        <v>134522.96348000001</v>
      </c>
      <c r="H352" s="373">
        <f t="shared" si="130"/>
        <v>-0.11757430159759666</v>
      </c>
      <c r="I352" s="371"/>
    </row>
    <row r="353" spans="2:9" x14ac:dyDescent="0.25">
      <c r="B353" s="634">
        <v>42626</v>
      </c>
      <c r="C353" s="370">
        <v>8678</v>
      </c>
      <c r="D353" s="635">
        <v>16.18149</v>
      </c>
      <c r="E353" s="371">
        <v>14.34</v>
      </c>
      <c r="F353" s="371">
        <f t="shared" si="128"/>
        <v>-15980.450220000002</v>
      </c>
      <c r="G353" s="371">
        <f t="shared" si="129"/>
        <v>140422.97021999999</v>
      </c>
      <c r="H353" s="373">
        <f t="shared" si="130"/>
        <v>-0.11380225183218605</v>
      </c>
      <c r="I353" s="371"/>
    </row>
    <row r="354" spans="2:9" x14ac:dyDescent="0.25">
      <c r="B354" s="634">
        <v>42626</v>
      </c>
      <c r="C354" s="370">
        <v>8978</v>
      </c>
      <c r="D354" s="635">
        <v>16.124635000000001</v>
      </c>
      <c r="E354" s="371">
        <v>14.34</v>
      </c>
      <c r="F354" s="371">
        <f t="shared" si="128"/>
        <v>-16022.453030000013</v>
      </c>
      <c r="G354" s="371">
        <f t="shared" si="129"/>
        <v>144766.97303000002</v>
      </c>
      <c r="H354" s="373">
        <f t="shared" si="130"/>
        <v>-0.11067754401882594</v>
      </c>
      <c r="I354" s="371"/>
    </row>
    <row r="355" spans="2:9" x14ac:dyDescent="0.25">
      <c r="B355" s="634">
        <v>42626</v>
      </c>
      <c r="C355" s="370">
        <v>9278</v>
      </c>
      <c r="D355" s="635">
        <v>16.064019999999999</v>
      </c>
      <c r="E355" s="371">
        <v>14.34</v>
      </c>
      <c r="F355" s="371">
        <f t="shared" si="128"/>
        <v>-15995.457559999995</v>
      </c>
      <c r="G355" s="371">
        <f t="shared" si="129"/>
        <v>149041.97756</v>
      </c>
      <c r="H355" s="373">
        <f t="shared" si="130"/>
        <v>-0.10732182853357998</v>
      </c>
      <c r="I355" s="371" t="s">
        <v>277</v>
      </c>
    </row>
    <row r="356" spans="2:9" ht="15" customHeight="1" x14ac:dyDescent="0.25">
      <c r="B356" s="634">
        <v>42627</v>
      </c>
      <c r="C356" s="370">
        <v>9478</v>
      </c>
      <c r="D356" s="635">
        <v>16.020790999999999</v>
      </c>
      <c r="E356" s="371">
        <v>14.01</v>
      </c>
      <c r="F356" s="371">
        <f t="shared" ref="F356:F363" si="131">C356*(E356-D356)</f>
        <v>-19058.277097999995</v>
      </c>
      <c r="G356" s="371">
        <f t="shared" ref="G356:G363" si="132">IF(C356=0, 0,D356*C356)</f>
        <v>151845.05709799999</v>
      </c>
      <c r="H356" s="373">
        <f t="shared" ref="H356:H363" si="133">IF(C356=0, D356, (E356-D356)/D356)</f>
        <v>-0.1255113433537707</v>
      </c>
      <c r="I356" s="371"/>
    </row>
    <row r="357" spans="2:9" x14ac:dyDescent="0.25">
      <c r="B357" s="634">
        <v>42628</v>
      </c>
      <c r="C357" s="370">
        <v>9478</v>
      </c>
      <c r="D357" s="635">
        <v>16.015726999999998</v>
      </c>
      <c r="E357" s="371">
        <v>14.26</v>
      </c>
      <c r="F357" s="371">
        <f t="shared" si="131"/>
        <v>-16640.780505999985</v>
      </c>
      <c r="G357" s="371">
        <f t="shared" si="132"/>
        <v>151797.06050599998</v>
      </c>
      <c r="H357" s="373">
        <f t="shared" si="133"/>
        <v>-0.1096251827968845</v>
      </c>
      <c r="I357" s="371"/>
    </row>
    <row r="358" spans="2:9" x14ac:dyDescent="0.25">
      <c r="B358" s="634">
        <v>42629</v>
      </c>
      <c r="C358" s="370">
        <v>9478</v>
      </c>
      <c r="D358" s="635">
        <v>16.015726999999998</v>
      </c>
      <c r="E358" s="371">
        <v>14.24</v>
      </c>
      <c r="F358" s="371">
        <f t="shared" si="131"/>
        <v>-16830.340505999982</v>
      </c>
      <c r="G358" s="371">
        <f t="shared" si="132"/>
        <v>151797.06050599998</v>
      </c>
      <c r="H358" s="373">
        <f t="shared" si="133"/>
        <v>-0.1108739553315312</v>
      </c>
      <c r="I358" s="371"/>
    </row>
    <row r="359" spans="2:9" x14ac:dyDescent="0.25">
      <c r="B359" s="634">
        <v>42632</v>
      </c>
      <c r="C359" s="370">
        <v>9678</v>
      </c>
      <c r="D359" s="635">
        <v>15.975311</v>
      </c>
      <c r="E359" s="371">
        <v>14.09</v>
      </c>
      <c r="F359" s="371">
        <f t="shared" si="131"/>
        <v>-18246.039857999996</v>
      </c>
      <c r="G359" s="371">
        <f t="shared" si="132"/>
        <v>154609.05985799999</v>
      </c>
      <c r="H359" s="372">
        <f t="shared" si="133"/>
        <v>-0.11801404054043141</v>
      </c>
      <c r="I359" s="371"/>
    </row>
    <row r="360" spans="2:9" x14ac:dyDescent="0.25">
      <c r="B360" s="634">
        <v>42633</v>
      </c>
      <c r="C360" s="370">
        <v>9878</v>
      </c>
      <c r="D360" s="635">
        <v>15.937544000000001</v>
      </c>
      <c r="E360" s="371">
        <v>13.87</v>
      </c>
      <c r="F360" s="371">
        <f t="shared" si="131"/>
        <v>-20423.199632000014</v>
      </c>
      <c r="G360" s="371">
        <f t="shared" si="132"/>
        <v>157431.05963200002</v>
      </c>
      <c r="H360" s="372">
        <f t="shared" si="133"/>
        <v>-0.12972789282966068</v>
      </c>
      <c r="I360" s="371"/>
    </row>
    <row r="361" spans="2:9" x14ac:dyDescent="0.25">
      <c r="B361" s="634">
        <v>42633</v>
      </c>
      <c r="C361" s="370">
        <v>10000</v>
      </c>
      <c r="D361" s="635">
        <v>15.915126000000001</v>
      </c>
      <c r="E361" s="371">
        <v>13.87</v>
      </c>
      <c r="F361" s="371">
        <f t="shared" si="131"/>
        <v>-20451.260000000017</v>
      </c>
      <c r="G361" s="371">
        <f t="shared" si="132"/>
        <v>159151.26</v>
      </c>
      <c r="H361" s="372">
        <f t="shared" si="133"/>
        <v>-0.12850203008132022</v>
      </c>
      <c r="I361" s="371"/>
    </row>
    <row r="362" spans="2:9" x14ac:dyDescent="0.25">
      <c r="B362" s="634">
        <v>42634</v>
      </c>
      <c r="C362" s="370">
        <v>9678</v>
      </c>
      <c r="D362" s="635">
        <v>15.969538999999999</v>
      </c>
      <c r="E362" s="371">
        <v>14.65</v>
      </c>
      <c r="F362" s="371">
        <f t="shared" si="131"/>
        <v>-12770.498441999989</v>
      </c>
      <c r="G362" s="371">
        <f t="shared" si="132"/>
        <v>154553.19844199999</v>
      </c>
      <c r="H362" s="372">
        <f t="shared" si="133"/>
        <v>-8.2628496664806608E-2</v>
      </c>
      <c r="I362" s="371"/>
    </row>
    <row r="363" spans="2:9" x14ac:dyDescent="0.25">
      <c r="B363" s="634">
        <v>42634</v>
      </c>
      <c r="C363" s="370">
        <v>9278</v>
      </c>
      <c r="D363" s="635">
        <v>16.026872999999998</v>
      </c>
      <c r="E363" s="371">
        <v>14.65</v>
      </c>
      <c r="F363" s="371">
        <f t="shared" si="131"/>
        <v>-12774.627693999981</v>
      </c>
      <c r="G363" s="371">
        <f t="shared" si="132"/>
        <v>148697.32769399998</v>
      </c>
      <c r="H363" s="372">
        <f t="shared" si="133"/>
        <v>-8.5910270830747718E-2</v>
      </c>
      <c r="I363" s="371">
        <v>16</v>
      </c>
    </row>
    <row r="364" spans="2:9" x14ac:dyDescent="0.25">
      <c r="B364" s="634">
        <v>42635</v>
      </c>
      <c r="C364" s="370">
        <v>9278</v>
      </c>
      <c r="D364" s="635">
        <v>16.026872999999998</v>
      </c>
      <c r="E364" s="371">
        <v>14.87</v>
      </c>
      <c r="F364" s="371">
        <f t="shared" ref="F364:F375" si="134">C364*(E364-D364)</f>
        <v>-10733.467693999992</v>
      </c>
      <c r="G364" s="371">
        <f t="shared" ref="G364:G375" si="135">IF(C364=0, 0,D364*C364)</f>
        <v>148697.32769399998</v>
      </c>
      <c r="H364" s="372">
        <f t="shared" ref="H364:H375" si="136">IF(C364=0, D364, (E364-D364)/D364)</f>
        <v>-7.2183326092369937E-2</v>
      </c>
      <c r="I364" s="371"/>
    </row>
    <row r="365" spans="2:9" x14ac:dyDescent="0.25">
      <c r="B365" s="634">
        <v>42636</v>
      </c>
      <c r="C365" s="370">
        <v>9478</v>
      </c>
      <c r="D365" s="635">
        <v>15.992122</v>
      </c>
      <c r="E365" s="371">
        <v>14.49</v>
      </c>
      <c r="F365" s="371">
        <f t="shared" si="134"/>
        <v>-14237.112315999999</v>
      </c>
      <c r="G365" s="371">
        <f t="shared" si="135"/>
        <v>151573.33231600001</v>
      </c>
      <c r="H365" s="372">
        <f t="shared" si="136"/>
        <v>-9.39288732289561E-2</v>
      </c>
      <c r="I365" s="371"/>
    </row>
    <row r="366" spans="2:9" x14ac:dyDescent="0.25">
      <c r="B366" s="634">
        <v>42639</v>
      </c>
      <c r="C366" s="370">
        <v>9278</v>
      </c>
      <c r="D366" s="635">
        <v>16.019549999999999</v>
      </c>
      <c r="E366" s="371">
        <v>14.41</v>
      </c>
      <c r="F366" s="371">
        <f t="shared" si="134"/>
        <v>-14933.404899999989</v>
      </c>
      <c r="G366" s="371">
        <f t="shared" si="135"/>
        <v>148629.38489999998</v>
      </c>
      <c r="H366" s="372">
        <f t="shared" si="136"/>
        <v>-0.10047410819904422</v>
      </c>
      <c r="I366" s="371">
        <v>16</v>
      </c>
    </row>
    <row r="367" spans="2:9" x14ac:dyDescent="0.25">
      <c r="B367" s="634">
        <v>42639</v>
      </c>
      <c r="C367" s="370">
        <v>9478</v>
      </c>
      <c r="D367" s="635">
        <v>15.987468</v>
      </c>
      <c r="E367" s="371">
        <v>14.41</v>
      </c>
      <c r="F367" s="371">
        <f t="shared" si="134"/>
        <v>-14951.241703999996</v>
      </c>
      <c r="G367" s="371">
        <f t="shared" si="135"/>
        <v>151529.221704</v>
      </c>
      <c r="H367" s="372">
        <f t="shared" si="136"/>
        <v>-9.8669032519721048E-2</v>
      </c>
      <c r="I367" s="371"/>
    </row>
    <row r="368" spans="2:9" x14ac:dyDescent="0.25">
      <c r="B368" s="634">
        <v>42639</v>
      </c>
      <c r="C368" s="370">
        <v>9678</v>
      </c>
      <c r="D368" s="635">
        <v>15.954266000000001</v>
      </c>
      <c r="E368" s="371">
        <v>14.41</v>
      </c>
      <c r="F368" s="371">
        <f t="shared" si="134"/>
        <v>-14945.406348000004</v>
      </c>
      <c r="G368" s="371">
        <f t="shared" si="135"/>
        <v>154405.386348</v>
      </c>
      <c r="H368" s="372">
        <f t="shared" si="136"/>
        <v>-9.6793296538994669E-2</v>
      </c>
      <c r="I368" s="371"/>
    </row>
    <row r="369" spans="2:9" x14ac:dyDescent="0.25">
      <c r="B369" s="634">
        <v>42640</v>
      </c>
      <c r="C369" s="370">
        <v>10000</v>
      </c>
      <c r="D369" s="635">
        <v>15.890373</v>
      </c>
      <c r="E369" s="371">
        <v>14.06</v>
      </c>
      <c r="F369" s="371">
        <f t="shared" si="134"/>
        <v>-18303.73</v>
      </c>
      <c r="G369" s="371">
        <f t="shared" si="135"/>
        <v>158903.73000000001</v>
      </c>
      <c r="H369" s="372">
        <f t="shared" si="136"/>
        <v>-0.11518754153851517</v>
      </c>
      <c r="I369" s="371"/>
    </row>
    <row r="370" spans="2:9" x14ac:dyDescent="0.25">
      <c r="B370" s="634">
        <v>42641</v>
      </c>
      <c r="C370" s="370">
        <v>9278</v>
      </c>
      <c r="D370" s="635">
        <v>15.968</v>
      </c>
      <c r="E370" s="371">
        <v>15.18</v>
      </c>
      <c r="F370" s="371">
        <f t="shared" si="134"/>
        <v>-7311.0640000000021</v>
      </c>
      <c r="G370" s="371">
        <f t="shared" si="135"/>
        <v>148151.10399999999</v>
      </c>
      <c r="H370" s="372">
        <f t="shared" si="136"/>
        <v>-4.9348697394789594E-2</v>
      </c>
      <c r="I370" s="371" t="s">
        <v>290</v>
      </c>
    </row>
    <row r="371" spans="2:9" x14ac:dyDescent="0.25">
      <c r="B371" s="634">
        <v>42641</v>
      </c>
      <c r="C371" s="370">
        <v>8978</v>
      </c>
      <c r="D371" s="635">
        <v>15.991466000000001</v>
      </c>
      <c r="E371" s="371">
        <v>15.18</v>
      </c>
      <c r="F371" s="371">
        <f t="shared" si="134"/>
        <v>-7285.3417480000098</v>
      </c>
      <c r="G371" s="371">
        <f t="shared" si="135"/>
        <v>143571.38174800001</v>
      </c>
      <c r="H371" s="372">
        <f t="shared" si="136"/>
        <v>-5.0743690415875634E-2</v>
      </c>
      <c r="I371" s="371"/>
    </row>
    <row r="372" spans="2:9" x14ac:dyDescent="0.25">
      <c r="B372" s="634">
        <v>42642</v>
      </c>
      <c r="C372" s="370">
        <v>8678</v>
      </c>
      <c r="D372" s="635">
        <v>16.016100000000002</v>
      </c>
      <c r="E372" s="371">
        <v>15.9</v>
      </c>
      <c r="F372" s="371">
        <f t="shared" si="134"/>
        <v>-1007.5158000000105</v>
      </c>
      <c r="G372" s="371">
        <f t="shared" si="135"/>
        <v>138987.71580000001</v>
      </c>
      <c r="H372" s="372">
        <f t="shared" si="136"/>
        <v>-7.2489557382884214E-3</v>
      </c>
      <c r="I372" s="371"/>
    </row>
    <row r="373" spans="2:9" x14ac:dyDescent="0.25">
      <c r="B373" s="634">
        <v>42642</v>
      </c>
      <c r="C373" s="370">
        <v>7978</v>
      </c>
      <c r="D373" s="635">
        <v>16.036825</v>
      </c>
      <c r="E373" s="371">
        <v>15.9</v>
      </c>
      <c r="F373" s="371">
        <f t="shared" si="134"/>
        <v>-1091.5898499999998</v>
      </c>
      <c r="G373" s="371">
        <f t="shared" si="135"/>
        <v>127941.78985</v>
      </c>
      <c r="H373" s="372">
        <f t="shared" si="136"/>
        <v>-8.5319257396648009E-3</v>
      </c>
      <c r="I373" s="371"/>
    </row>
    <row r="374" spans="2:9" x14ac:dyDescent="0.25">
      <c r="B374" s="634">
        <v>42642</v>
      </c>
      <c r="C374" s="370">
        <v>7764</v>
      </c>
      <c r="D374" s="635">
        <v>16.038399999999999</v>
      </c>
      <c r="E374" s="371">
        <v>15.9</v>
      </c>
      <c r="F374" s="371">
        <f t="shared" si="134"/>
        <v>-1074.5375999999919</v>
      </c>
      <c r="G374" s="371">
        <f t="shared" si="135"/>
        <v>124522.1376</v>
      </c>
      <c r="H374" s="372">
        <f t="shared" si="136"/>
        <v>-8.6292897047086353E-3</v>
      </c>
      <c r="I374" s="371"/>
    </row>
    <row r="375" spans="2:9" x14ac:dyDescent="0.25">
      <c r="B375" s="634">
        <v>42642</v>
      </c>
      <c r="C375" s="370">
        <v>8178</v>
      </c>
      <c r="D375" s="635">
        <v>16.019235999999999</v>
      </c>
      <c r="E375" s="371">
        <v>15.9</v>
      </c>
      <c r="F375" s="371">
        <f t="shared" si="134"/>
        <v>-975.11200799999187</v>
      </c>
      <c r="G375" s="371">
        <f t="shared" si="135"/>
        <v>131005.31200799999</v>
      </c>
      <c r="H375" s="372">
        <f t="shared" si="136"/>
        <v>-7.4433012910228059E-3</v>
      </c>
      <c r="I375" s="371" t="s">
        <v>291</v>
      </c>
    </row>
    <row r="376" spans="2:9" x14ac:dyDescent="0.25">
      <c r="B376" s="634">
        <v>42643</v>
      </c>
      <c r="C376" s="370">
        <v>8178</v>
      </c>
      <c r="D376" s="635">
        <v>16.019235999999999</v>
      </c>
      <c r="E376" s="371">
        <v>15.81</v>
      </c>
      <c r="F376" s="371">
        <f>C376*(E376-D376)</f>
        <v>-1711.1320079999907</v>
      </c>
      <c r="G376" s="371">
        <f>IF(C376=0, 0,D376*C376)</f>
        <v>131005.31200799999</v>
      </c>
      <c r="H376" s="372">
        <f>IF(C376=0, D376, (E376-D376)/D376)</f>
        <v>-1.3061546755413234E-2</v>
      </c>
      <c r="I376" s="371"/>
    </row>
    <row r="377" spans="2:9" ht="15" customHeight="1" x14ac:dyDescent="0.25">
      <c r="B377" s="634">
        <v>42646</v>
      </c>
      <c r="C377" s="370">
        <v>8178</v>
      </c>
      <c r="D377" s="635">
        <v>16.019235999999999</v>
      </c>
      <c r="E377" s="371">
        <v>15.98</v>
      </c>
      <c r="F377" s="371">
        <f t="shared" ref="F377:F386" si="137">C377*(E377-D377)</f>
        <v>-320.8720079999913</v>
      </c>
      <c r="G377" s="371">
        <f t="shared" ref="G377:G386" si="138">IF(C377=0, 0,D377*C377)</f>
        <v>131005.31200799999</v>
      </c>
      <c r="H377" s="372">
        <f t="shared" ref="H377:H386" si="139">IF(C377=0, D377, (E377-D377)/D377)</f>
        <v>-2.4493053226757469E-3</v>
      </c>
      <c r="I377" s="371"/>
    </row>
    <row r="378" spans="2:9" x14ac:dyDescent="0.25">
      <c r="B378" s="634">
        <v>42647</v>
      </c>
      <c r="C378" s="370">
        <v>8678</v>
      </c>
      <c r="D378" s="635">
        <v>16.010061</v>
      </c>
      <c r="E378" s="371">
        <v>15.63</v>
      </c>
      <c r="F378" s="371">
        <f t="shared" si="137"/>
        <v>-3298.169357999996</v>
      </c>
      <c r="G378" s="371">
        <f t="shared" si="138"/>
        <v>138935.309358</v>
      </c>
      <c r="H378" s="372">
        <f t="shared" si="139"/>
        <v>-2.3738885192255015E-2</v>
      </c>
      <c r="I378" s="371"/>
    </row>
    <row r="379" spans="2:9" x14ac:dyDescent="0.25">
      <c r="B379" s="634">
        <v>42647</v>
      </c>
      <c r="C379" s="370">
        <v>9178</v>
      </c>
      <c r="D379" s="635">
        <v>15.988811</v>
      </c>
      <c r="E379" s="371">
        <v>15.63</v>
      </c>
      <c r="F379" s="371">
        <f t="shared" si="137"/>
        <v>-3293.1673579999938</v>
      </c>
      <c r="G379" s="371">
        <f t="shared" si="138"/>
        <v>146745.30735799999</v>
      </c>
      <c r="H379" s="372">
        <f t="shared" si="139"/>
        <v>-2.2441381038277287E-2</v>
      </c>
      <c r="I379" s="371"/>
    </row>
    <row r="380" spans="2:9" x14ac:dyDescent="0.25">
      <c r="B380" s="634">
        <v>42648</v>
      </c>
      <c r="C380" s="370">
        <v>8178</v>
      </c>
      <c r="D380" s="635">
        <v>15.977725</v>
      </c>
      <c r="E380" s="371">
        <v>16.12</v>
      </c>
      <c r="F380" s="371">
        <f t="shared" si="137"/>
        <v>1163.524950000012</v>
      </c>
      <c r="G380" s="371">
        <f t="shared" si="138"/>
        <v>130665.83504999999</v>
      </c>
      <c r="H380" s="372">
        <f t="shared" si="139"/>
        <v>8.904584351026288E-3</v>
      </c>
      <c r="I380" s="371">
        <v>15.75</v>
      </c>
    </row>
    <row r="381" spans="2:9" x14ac:dyDescent="0.25">
      <c r="B381" s="634">
        <v>42648</v>
      </c>
      <c r="C381" s="391">
        <v>7678</v>
      </c>
      <c r="D381" s="636">
        <v>15.951529000000001</v>
      </c>
      <c r="E381" s="371">
        <v>16.12</v>
      </c>
      <c r="F381" s="371">
        <f t="shared" si="137"/>
        <v>1293.5203380000021</v>
      </c>
      <c r="G381" s="371">
        <f t="shared" si="138"/>
        <v>122475.839662</v>
      </c>
      <c r="H381" s="372">
        <f t="shared" si="139"/>
        <v>1.0561432700275958E-2</v>
      </c>
      <c r="I381" s="371" t="s">
        <v>295</v>
      </c>
    </row>
    <row r="382" spans="2:9" x14ac:dyDescent="0.25">
      <c r="B382" s="634">
        <v>42649</v>
      </c>
      <c r="C382" s="370">
        <v>8678</v>
      </c>
      <c r="D382" s="635">
        <v>15.941579000000001</v>
      </c>
      <c r="E382" s="371">
        <v>16.079999999999998</v>
      </c>
      <c r="F382" s="371">
        <f t="shared" si="137"/>
        <v>1201.2174379999781</v>
      </c>
      <c r="G382" s="371">
        <f t="shared" si="138"/>
        <v>138341.022562</v>
      </c>
      <c r="H382" s="372">
        <f t="shared" si="139"/>
        <v>8.683016908174369E-3</v>
      </c>
      <c r="I382" s="371"/>
    </row>
    <row r="383" spans="2:9" x14ac:dyDescent="0.25">
      <c r="B383" s="634">
        <v>42650</v>
      </c>
      <c r="C383" s="370">
        <v>8978</v>
      </c>
      <c r="D383" s="635">
        <v>15.935176999999999</v>
      </c>
      <c r="E383" s="371">
        <v>15.56</v>
      </c>
      <c r="F383" s="371">
        <f t="shared" si="137"/>
        <v>-3368.3391059999908</v>
      </c>
      <c r="G383" s="371">
        <f t="shared" si="138"/>
        <v>143066.01910599999</v>
      </c>
      <c r="H383" s="372">
        <f t="shared" si="139"/>
        <v>-2.354394933925108E-2</v>
      </c>
      <c r="I383" s="371"/>
    </row>
    <row r="384" spans="2:9" x14ac:dyDescent="0.25">
      <c r="B384" s="634">
        <v>42650</v>
      </c>
      <c r="C384" s="370">
        <v>9278</v>
      </c>
      <c r="D384" s="635">
        <v>15.923692000000001</v>
      </c>
      <c r="E384" s="371">
        <v>15.56</v>
      </c>
      <c r="F384" s="371">
        <f t="shared" si="137"/>
        <v>-3374.3343760000034</v>
      </c>
      <c r="G384" s="371">
        <f t="shared" si="138"/>
        <v>147740.01437600001</v>
      </c>
      <c r="H384" s="372">
        <f t="shared" si="139"/>
        <v>-2.2839678134945106E-2</v>
      </c>
      <c r="I384" s="371">
        <v>15.8</v>
      </c>
    </row>
    <row r="385" spans="2:9" x14ac:dyDescent="0.25">
      <c r="B385" s="634">
        <v>42653</v>
      </c>
      <c r="C385" s="391">
        <v>9678</v>
      </c>
      <c r="D385" s="636">
        <v>15.9153</v>
      </c>
      <c r="E385" s="371">
        <v>15.72</v>
      </c>
      <c r="F385" s="371">
        <f t="shared" si="137"/>
        <v>-1890.1133999999961</v>
      </c>
      <c r="G385" s="371">
        <f t="shared" si="138"/>
        <v>154028.27340000001</v>
      </c>
      <c r="H385" s="372">
        <f t="shared" si="139"/>
        <v>-1.2271210721758281E-2</v>
      </c>
      <c r="I385" s="371"/>
    </row>
    <row r="386" spans="2:9" x14ac:dyDescent="0.25">
      <c r="B386" s="634">
        <v>42661</v>
      </c>
      <c r="C386" s="391">
        <v>10000</v>
      </c>
      <c r="D386" s="636">
        <v>15.901258</v>
      </c>
      <c r="E386" s="371">
        <v>14.2</v>
      </c>
      <c r="F386" s="371">
        <f t="shared" si="137"/>
        <v>-17012.580000000009</v>
      </c>
      <c r="G386" s="371">
        <f t="shared" si="138"/>
        <v>159012.58000000002</v>
      </c>
      <c r="H386" s="372">
        <f t="shared" si="139"/>
        <v>-0.10698889358313669</v>
      </c>
      <c r="I386" s="371"/>
    </row>
    <row r="387" spans="2:9" x14ac:dyDescent="0.25">
      <c r="B387" s="634">
        <v>42663</v>
      </c>
      <c r="C387" s="370">
        <v>10000</v>
      </c>
      <c r="D387" s="635">
        <v>15.901258</v>
      </c>
      <c r="E387" s="371">
        <v>14.7</v>
      </c>
      <c r="F387" s="371">
        <f>C387*(E387-D387)</f>
        <v>-12012.580000000011</v>
      </c>
      <c r="G387" s="371">
        <f>IF(C387=0, 0,D387*C387)</f>
        <v>159012.58000000002</v>
      </c>
      <c r="H387" s="373">
        <f>IF(C387=0, D387, (E387-D387)/D387)</f>
        <v>-7.5544840540289399E-2</v>
      </c>
      <c r="I387" s="371"/>
    </row>
    <row r="388" spans="2:9" x14ac:dyDescent="0.25">
      <c r="B388" s="634">
        <v>42668</v>
      </c>
      <c r="C388" s="370">
        <v>11000</v>
      </c>
      <c r="D388" s="635">
        <v>15.74728</v>
      </c>
      <c r="E388" s="371">
        <v>14.18</v>
      </c>
      <c r="F388" s="371">
        <f>C388*(E388-D388)</f>
        <v>-17240.080000000002</v>
      </c>
      <c r="G388" s="371">
        <f>IF(C388=0, 0,D388*C388)</f>
        <v>173220.08</v>
      </c>
      <c r="H388" s="373">
        <f>IF(C388=0, D388, (E388-D388)/D388)</f>
        <v>-9.9527029429844413E-2</v>
      </c>
      <c r="I388" s="371"/>
    </row>
    <row r="389" spans="2:9" x14ac:dyDescent="0.25">
      <c r="B389" s="634">
        <v>42670</v>
      </c>
      <c r="C389" s="370">
        <v>11500</v>
      </c>
      <c r="D389" s="635">
        <v>15.679137000000001</v>
      </c>
      <c r="E389" s="371">
        <v>13.95</v>
      </c>
      <c r="F389" s="371">
        <f>C389*(E389-D389)</f>
        <v>-19885.075500000017</v>
      </c>
      <c r="G389" s="371">
        <f>IF(C389=0, 0,D389*C389)</f>
        <v>180310.07550000001</v>
      </c>
      <c r="H389" s="373">
        <f>IF(C389=0, D389, (E389-D389)/D389)</f>
        <v>-0.11028266415428357</v>
      </c>
      <c r="I389" s="371"/>
    </row>
    <row r="390" spans="2:9" x14ac:dyDescent="0.25">
      <c r="B390" s="634">
        <v>42670</v>
      </c>
      <c r="C390" s="370">
        <v>12000</v>
      </c>
      <c r="D390" s="635">
        <v>15.6113</v>
      </c>
      <c r="E390" s="371">
        <v>13.95</v>
      </c>
      <c r="F390" s="371">
        <f t="shared" ref="F390:F397" si="140">C390*(E390-D390)</f>
        <v>-19935.600000000009</v>
      </c>
      <c r="G390" s="371">
        <f t="shared" ref="G390:G397" si="141">IF(C390=0, 0,D390*C390)</f>
        <v>187335.6</v>
      </c>
      <c r="H390" s="373">
        <f t="shared" ref="H390:H397" si="142">IF(C390=0, D390, (E390-D390)/D390)</f>
        <v>-0.10641650599245422</v>
      </c>
      <c r="I390" s="371"/>
    </row>
    <row r="391" spans="2:9" x14ac:dyDescent="0.25">
      <c r="B391" s="634">
        <v>42670</v>
      </c>
      <c r="C391" s="370">
        <v>12500</v>
      </c>
      <c r="D391" s="635">
        <v>15.542006000000001</v>
      </c>
      <c r="E391" s="371">
        <v>13.95</v>
      </c>
      <c r="F391" s="371">
        <f t="shared" si="140"/>
        <v>-19900.075000000015</v>
      </c>
      <c r="G391" s="371">
        <f t="shared" si="141"/>
        <v>194275.07500000001</v>
      </c>
      <c r="H391" s="373">
        <f t="shared" si="142"/>
        <v>-0.10243246592492637</v>
      </c>
      <c r="I391" s="371"/>
    </row>
    <row r="392" spans="2:9" x14ac:dyDescent="0.25">
      <c r="B392" s="634">
        <v>42671</v>
      </c>
      <c r="C392" s="370">
        <v>12500</v>
      </c>
      <c r="D392" s="635">
        <v>15.536431</v>
      </c>
      <c r="E392" s="371">
        <v>13.72</v>
      </c>
      <c r="F392" s="371">
        <f t="shared" si="140"/>
        <v>-22705.387499999997</v>
      </c>
      <c r="G392" s="371">
        <f t="shared" si="141"/>
        <v>194205.38750000001</v>
      </c>
      <c r="H392" s="373">
        <f t="shared" si="142"/>
        <v>-0.11691430290521676</v>
      </c>
      <c r="I392" s="371"/>
    </row>
    <row r="393" spans="2:9" x14ac:dyDescent="0.25">
      <c r="B393" s="634">
        <v>42674</v>
      </c>
      <c r="C393" s="370">
        <v>12500</v>
      </c>
      <c r="D393" s="635">
        <v>15.5313</v>
      </c>
      <c r="E393" s="371">
        <v>13.18</v>
      </c>
      <c r="F393" s="371">
        <f t="shared" si="140"/>
        <v>-29391.250000000004</v>
      </c>
      <c r="G393" s="371">
        <f t="shared" si="141"/>
        <v>194141.25</v>
      </c>
      <c r="H393" s="373">
        <f t="shared" si="142"/>
        <v>-0.15139106192012261</v>
      </c>
      <c r="I393" s="371"/>
    </row>
    <row r="394" spans="2:9" x14ac:dyDescent="0.25">
      <c r="B394" s="634">
        <v>42676</v>
      </c>
      <c r="C394" s="370">
        <v>12500</v>
      </c>
      <c r="D394" s="635">
        <v>15.528746</v>
      </c>
      <c r="E394" s="371">
        <v>12.78</v>
      </c>
      <c r="F394" s="371">
        <f t="shared" si="140"/>
        <v>-34359.325000000004</v>
      </c>
      <c r="G394" s="371">
        <f t="shared" si="141"/>
        <v>194109.32500000001</v>
      </c>
      <c r="H394" s="372">
        <f t="shared" si="142"/>
        <v>-0.17701017197396368</v>
      </c>
      <c r="I394" s="371"/>
    </row>
    <row r="395" spans="2:9" x14ac:dyDescent="0.25">
      <c r="B395" s="634">
        <v>42677</v>
      </c>
      <c r="C395" s="370">
        <v>10000</v>
      </c>
      <c r="D395" s="635">
        <v>15.813000000000001</v>
      </c>
      <c r="E395" s="371">
        <v>14.15</v>
      </c>
      <c r="F395" s="371">
        <f t="shared" si="140"/>
        <v>-16630.000000000004</v>
      </c>
      <c r="G395" s="371">
        <f t="shared" si="141"/>
        <v>158130</v>
      </c>
      <c r="H395" s="372">
        <f t="shared" si="142"/>
        <v>-0.10516663504711314</v>
      </c>
      <c r="I395" s="371"/>
    </row>
    <row r="396" spans="2:9" x14ac:dyDescent="0.25">
      <c r="B396" s="634">
        <v>42678</v>
      </c>
      <c r="C396" s="370">
        <v>11000</v>
      </c>
      <c r="D396" s="635">
        <v>15.62</v>
      </c>
      <c r="E396" s="371">
        <v>13.69</v>
      </c>
      <c r="F396" s="371">
        <f t="shared" si="140"/>
        <v>-21229.999999999996</v>
      </c>
      <c r="G396" s="371">
        <f t="shared" si="141"/>
        <v>171820</v>
      </c>
      <c r="H396" s="372">
        <f t="shared" si="142"/>
        <v>-0.12355953905249678</v>
      </c>
      <c r="I396" s="371"/>
    </row>
    <row r="397" spans="2:9" x14ac:dyDescent="0.25">
      <c r="B397" s="634">
        <v>42701</v>
      </c>
      <c r="C397" s="370">
        <v>7678</v>
      </c>
      <c r="D397" s="635">
        <v>15.484220000000001</v>
      </c>
      <c r="E397" s="371">
        <v>16.28</v>
      </c>
      <c r="F397" s="371">
        <f t="shared" si="140"/>
        <v>6109.9988400000047</v>
      </c>
      <c r="G397" s="371">
        <f t="shared" si="141"/>
        <v>118887.84116000001</v>
      </c>
      <c r="H397" s="372">
        <f t="shared" si="142"/>
        <v>5.1392966516879801E-2</v>
      </c>
      <c r="I397" s="371" t="s">
        <v>306</v>
      </c>
    </row>
    <row r="398" spans="2:9" x14ac:dyDescent="0.25">
      <c r="B398" s="634">
        <v>42702</v>
      </c>
      <c r="C398" s="370">
        <v>8178</v>
      </c>
      <c r="D398" s="635">
        <v>15.519399999999999</v>
      </c>
      <c r="E398" s="371">
        <v>15.62</v>
      </c>
      <c r="F398" s="371">
        <f t="shared" ref="F398:F415" si="143">C398*(E398-D398)</f>
        <v>822.70680000000016</v>
      </c>
      <c r="G398" s="371">
        <f t="shared" ref="G398:G415" si="144">IF(C398=0, 0,D398*C398)</f>
        <v>126917.6532</v>
      </c>
      <c r="H398" s="372">
        <f t="shared" ref="H398:H415" si="145">IF(C398=0, D398, (E398-D398)/D398)</f>
        <v>6.4822093637640649E-3</v>
      </c>
      <c r="I398" s="371" t="s">
        <v>311</v>
      </c>
    </row>
    <row r="399" spans="2:9" ht="15" customHeight="1" x14ac:dyDescent="0.25">
      <c r="B399" s="634">
        <v>42702</v>
      </c>
      <c r="C399" s="370">
        <v>8678</v>
      </c>
      <c r="D399" s="635">
        <v>15.5304</v>
      </c>
      <c r="E399" s="371">
        <v>15.54</v>
      </c>
      <c r="F399" s="371">
        <f t="shared" si="143"/>
        <v>83.308799999990825</v>
      </c>
      <c r="G399" s="371">
        <f t="shared" si="144"/>
        <v>134772.8112</v>
      </c>
      <c r="H399" s="372">
        <f t="shared" si="145"/>
        <v>6.1814248184199655E-4</v>
      </c>
      <c r="I399" s="371"/>
    </row>
    <row r="400" spans="2:9" x14ac:dyDescent="0.25">
      <c r="B400" s="634">
        <v>42703</v>
      </c>
      <c r="C400" s="370">
        <v>8978</v>
      </c>
      <c r="D400" s="635">
        <v>15.5053</v>
      </c>
      <c r="E400" s="371">
        <v>14.95</v>
      </c>
      <c r="F400" s="371">
        <f t="shared" si="143"/>
        <v>-4985.4834000000074</v>
      </c>
      <c r="G400" s="371">
        <f t="shared" si="144"/>
        <v>139206.5834</v>
      </c>
      <c r="H400" s="372">
        <f t="shared" si="145"/>
        <v>-3.5813560524465882E-2</v>
      </c>
      <c r="I400" s="371"/>
    </row>
    <row r="401" spans="1:10" x14ac:dyDescent="0.25">
      <c r="B401" s="634">
        <v>42704</v>
      </c>
      <c r="C401" s="370">
        <v>5178</v>
      </c>
      <c r="D401" s="635">
        <v>14.3947</v>
      </c>
      <c r="E401" s="371">
        <v>18.059999999999999</v>
      </c>
      <c r="F401" s="371">
        <f t="shared" si="143"/>
        <v>18978.923399999992</v>
      </c>
      <c r="G401" s="371">
        <f t="shared" si="144"/>
        <v>74535.756600000008</v>
      </c>
      <c r="H401" s="372">
        <f t="shared" si="145"/>
        <v>0.25462843963403187</v>
      </c>
      <c r="I401" s="371"/>
    </row>
    <row r="402" spans="1:10" x14ac:dyDescent="0.25">
      <c r="B402" s="634">
        <v>42705</v>
      </c>
      <c r="C402" s="370">
        <v>4678</v>
      </c>
      <c r="D402" s="635">
        <v>13.905799999999999</v>
      </c>
      <c r="E402" s="371">
        <v>17.89</v>
      </c>
      <c r="F402" s="371">
        <f t="shared" si="143"/>
        <v>18638.087600000006</v>
      </c>
      <c r="G402" s="371">
        <f t="shared" si="144"/>
        <v>65051.332399999999</v>
      </c>
      <c r="H402" s="372">
        <f t="shared" si="145"/>
        <v>0.28651354111234173</v>
      </c>
      <c r="I402" s="371"/>
    </row>
    <row r="403" spans="1:10" x14ac:dyDescent="0.25">
      <c r="B403" s="634">
        <v>42705</v>
      </c>
      <c r="C403" s="370">
        <v>5000</v>
      </c>
      <c r="D403" s="635">
        <v>14.1645</v>
      </c>
      <c r="E403" s="371">
        <v>17.89</v>
      </c>
      <c r="F403" s="371">
        <f t="shared" si="143"/>
        <v>18627.5</v>
      </c>
      <c r="G403" s="371">
        <f t="shared" si="144"/>
        <v>70822.5</v>
      </c>
      <c r="H403" s="372">
        <f t="shared" si="145"/>
        <v>0.2630166966712556</v>
      </c>
      <c r="I403" s="371"/>
    </row>
    <row r="404" spans="1:10" x14ac:dyDescent="0.25">
      <c r="B404" s="634">
        <v>42708</v>
      </c>
      <c r="C404" s="370">
        <v>5000</v>
      </c>
      <c r="D404" s="635">
        <v>14.1645</v>
      </c>
      <c r="E404" s="371">
        <v>18.2</v>
      </c>
      <c r="F404" s="371">
        <f t="shared" si="143"/>
        <v>20177.499999999996</v>
      </c>
      <c r="G404" s="371">
        <f t="shared" si="144"/>
        <v>70822.5</v>
      </c>
      <c r="H404" s="372">
        <f t="shared" si="145"/>
        <v>0.28490239683716323</v>
      </c>
      <c r="I404" s="371"/>
    </row>
    <row r="405" spans="1:10" x14ac:dyDescent="0.25">
      <c r="B405" s="634">
        <v>42711</v>
      </c>
      <c r="C405" s="370">
        <v>5000</v>
      </c>
      <c r="D405" s="635">
        <v>14.143514</v>
      </c>
      <c r="E405" s="371">
        <v>18.420000000000002</v>
      </c>
      <c r="F405" s="371">
        <f t="shared" si="143"/>
        <v>21382.430000000011</v>
      </c>
      <c r="G405" s="371">
        <f t="shared" si="144"/>
        <v>70717.569999999992</v>
      </c>
      <c r="H405" s="372">
        <f t="shared" si="145"/>
        <v>0.3023637548631834</v>
      </c>
      <c r="I405" s="371"/>
    </row>
    <row r="406" spans="1:10" ht="15" customHeight="1" x14ac:dyDescent="0.25">
      <c r="B406" s="634">
        <v>42713</v>
      </c>
      <c r="C406" s="370">
        <v>5000</v>
      </c>
      <c r="D406" s="635">
        <v>14.127554</v>
      </c>
      <c r="E406" s="371">
        <v>18.25</v>
      </c>
      <c r="F406" s="371">
        <f t="shared" si="143"/>
        <v>20612.23</v>
      </c>
      <c r="G406" s="371">
        <f t="shared" si="144"/>
        <v>70637.77</v>
      </c>
      <c r="H406" s="372">
        <f t="shared" si="145"/>
        <v>0.29180182216964096</v>
      </c>
      <c r="I406" s="371"/>
    </row>
    <row r="407" spans="1:10" x14ac:dyDescent="0.25">
      <c r="B407" s="634">
        <v>42716</v>
      </c>
      <c r="C407" s="370">
        <v>5000</v>
      </c>
      <c r="D407" s="635">
        <v>14.0276</v>
      </c>
      <c r="E407" s="371">
        <v>18.489999999999998</v>
      </c>
      <c r="F407" s="371">
        <f t="shared" si="143"/>
        <v>22311.999999999993</v>
      </c>
      <c r="G407" s="371">
        <f t="shared" si="144"/>
        <v>70138</v>
      </c>
      <c r="H407" s="372">
        <f t="shared" si="145"/>
        <v>0.3181157147338104</v>
      </c>
      <c r="I407" s="371" t="s">
        <v>185</v>
      </c>
    </row>
    <row r="408" spans="1:10" x14ac:dyDescent="0.25">
      <c r="B408" s="634">
        <v>42718</v>
      </c>
      <c r="C408" s="370">
        <v>5000</v>
      </c>
      <c r="D408" s="635">
        <v>14.025399999999999</v>
      </c>
      <c r="E408" s="371">
        <v>18.2</v>
      </c>
      <c r="F408" s="371">
        <f t="shared" si="143"/>
        <v>20873</v>
      </c>
      <c r="G408" s="371">
        <f t="shared" si="144"/>
        <v>70127</v>
      </c>
      <c r="H408" s="372">
        <f t="shared" si="145"/>
        <v>0.29764569994438661</v>
      </c>
      <c r="I408" s="371">
        <v>13.8</v>
      </c>
    </row>
    <row r="409" spans="1:10" x14ac:dyDescent="0.25">
      <c r="B409" s="634">
        <v>42726</v>
      </c>
      <c r="C409" s="370">
        <v>5000</v>
      </c>
      <c r="D409" s="635">
        <v>14.025399999999999</v>
      </c>
      <c r="E409" s="371">
        <v>18.04</v>
      </c>
      <c r="F409" s="371">
        <f t="shared" si="143"/>
        <v>20073</v>
      </c>
      <c r="G409" s="371">
        <f t="shared" si="144"/>
        <v>70127</v>
      </c>
      <c r="H409" s="372">
        <f t="shared" si="145"/>
        <v>0.28623782565916123</v>
      </c>
      <c r="I409" s="371"/>
    </row>
    <row r="410" spans="1:10" x14ac:dyDescent="0.25">
      <c r="B410" s="634">
        <v>42733</v>
      </c>
      <c r="C410" s="370">
        <v>6000</v>
      </c>
      <c r="D410" s="635">
        <v>14.627558000000001</v>
      </c>
      <c r="E410" s="371">
        <v>17.57</v>
      </c>
      <c r="F410" s="453">
        <f t="shared" si="143"/>
        <v>17654.651999999998</v>
      </c>
      <c r="G410" s="371">
        <f t="shared" si="144"/>
        <v>87765.347999999998</v>
      </c>
      <c r="H410" s="373">
        <f t="shared" si="145"/>
        <v>0.20115743174629694</v>
      </c>
      <c r="I410" s="371"/>
      <c r="J410" s="3"/>
    </row>
    <row r="411" spans="1:10" x14ac:dyDescent="0.25">
      <c r="B411" s="634">
        <v>42734</v>
      </c>
      <c r="C411" s="370">
        <v>6000</v>
      </c>
      <c r="D411" s="635">
        <v>14.562623</v>
      </c>
      <c r="E411" s="371">
        <v>17.309999999999999</v>
      </c>
      <c r="F411" s="453">
        <f t="shared" si="143"/>
        <v>16484.261999999992</v>
      </c>
      <c r="G411" s="371">
        <f t="shared" si="144"/>
        <v>87375.737999999998</v>
      </c>
      <c r="H411" s="373">
        <f t="shared" si="145"/>
        <v>0.18865948806063293</v>
      </c>
      <c r="I411" s="371"/>
    </row>
    <row r="412" spans="1:10" x14ac:dyDescent="0.25">
      <c r="B412" s="634">
        <v>42739</v>
      </c>
      <c r="C412" s="370">
        <v>5500</v>
      </c>
      <c r="D412" s="635">
        <v>14.242898</v>
      </c>
      <c r="E412" s="371">
        <v>18.05</v>
      </c>
      <c r="F412" s="453">
        <f t="shared" si="143"/>
        <v>20939.061000000002</v>
      </c>
      <c r="G412" s="371">
        <f t="shared" si="144"/>
        <v>78335.938999999998</v>
      </c>
      <c r="H412" s="373">
        <f t="shared" si="145"/>
        <v>0.26729827033796072</v>
      </c>
      <c r="I412" s="371"/>
    </row>
    <row r="413" spans="1:10" x14ac:dyDescent="0.25">
      <c r="B413" s="634">
        <v>42741</v>
      </c>
      <c r="C413" s="370">
        <v>6000</v>
      </c>
      <c r="D413" s="635">
        <v>14.54599</v>
      </c>
      <c r="E413" s="371">
        <v>17.98</v>
      </c>
      <c r="F413" s="453">
        <f t="shared" si="143"/>
        <v>20604.060000000005</v>
      </c>
      <c r="G413" s="371">
        <f t="shared" si="144"/>
        <v>87275.94</v>
      </c>
      <c r="H413" s="373">
        <f t="shared" si="145"/>
        <v>0.23607949682352322</v>
      </c>
      <c r="I413" s="371"/>
    </row>
    <row r="414" spans="1:10" x14ac:dyDescent="0.25">
      <c r="B414" s="634">
        <v>42748</v>
      </c>
      <c r="C414" s="370">
        <v>6000</v>
      </c>
      <c r="D414" s="635">
        <v>14.527687999999999</v>
      </c>
      <c r="E414" s="371">
        <v>17.46</v>
      </c>
      <c r="F414" s="453">
        <f t="shared" si="143"/>
        <v>17593.872000000007</v>
      </c>
      <c r="G414" s="371">
        <f t="shared" si="144"/>
        <v>87166.127999999997</v>
      </c>
      <c r="H414" s="373">
        <f t="shared" si="145"/>
        <v>0.20184299112150547</v>
      </c>
      <c r="I414" s="371"/>
    </row>
    <row r="415" spans="1:10" x14ac:dyDescent="0.25">
      <c r="A415" s="230" t="s">
        <v>340</v>
      </c>
      <c r="B415" s="634">
        <v>42754</v>
      </c>
      <c r="C415" s="370">
        <v>6000</v>
      </c>
      <c r="D415" s="635">
        <v>14.527687999999999</v>
      </c>
      <c r="E415" s="371">
        <v>17.27</v>
      </c>
      <c r="F415" s="453">
        <f t="shared" si="143"/>
        <v>16453.871999999999</v>
      </c>
      <c r="G415" s="371">
        <f t="shared" si="144"/>
        <v>87166.127999999997</v>
      </c>
      <c r="H415" s="373">
        <f t="shared" si="145"/>
        <v>0.1887645164185795</v>
      </c>
      <c r="I415" s="371"/>
    </row>
    <row r="416" spans="1:10" ht="15" customHeight="1" x14ac:dyDescent="0.25">
      <c r="A416" t="s">
        <v>340</v>
      </c>
      <c r="B416" s="634">
        <v>42760</v>
      </c>
      <c r="C416" s="370">
        <v>6000</v>
      </c>
      <c r="D416" s="635">
        <v>14.527687999999999</v>
      </c>
      <c r="E416" s="371">
        <v>17.75</v>
      </c>
      <c r="F416" s="453">
        <f t="shared" ref="F416:F430" si="146">C416*(E416-D416)</f>
        <v>19333.872000000003</v>
      </c>
      <c r="G416" s="371">
        <f t="shared" ref="G416:G430" si="147">IF(C416=0, 0,D416*C416)</f>
        <v>87166.127999999997</v>
      </c>
      <c r="H416" s="373">
        <f t="shared" ref="H416:H430" si="148">IF(C416=0, D416, (E416-D416)/D416)</f>
        <v>0.22180487356281334</v>
      </c>
      <c r="I416" s="371"/>
    </row>
    <row r="417" spans="1:9" x14ac:dyDescent="0.25">
      <c r="A417" t="s">
        <v>373</v>
      </c>
      <c r="B417" s="634">
        <v>42761</v>
      </c>
      <c r="C417" s="370">
        <v>6000</v>
      </c>
      <c r="D417" s="635">
        <v>14.50817</v>
      </c>
      <c r="E417" s="371">
        <v>17.75</v>
      </c>
      <c r="F417" s="453">
        <f t="shared" si="146"/>
        <v>19450.98</v>
      </c>
      <c r="G417" s="371">
        <f t="shared" si="147"/>
        <v>87049.02</v>
      </c>
      <c r="H417" s="373">
        <f t="shared" si="148"/>
        <v>0.22344858104088938</v>
      </c>
      <c r="I417" s="371"/>
    </row>
    <row r="418" spans="1:9" x14ac:dyDescent="0.25">
      <c r="A418" t="s">
        <v>376</v>
      </c>
      <c r="B418" s="634">
        <v>42762</v>
      </c>
      <c r="C418" s="370">
        <v>6100</v>
      </c>
      <c r="D418" s="635">
        <v>14.553610000000001</v>
      </c>
      <c r="E418" s="371">
        <v>17.41</v>
      </c>
      <c r="F418" s="453">
        <f t="shared" si="146"/>
        <v>17423.978999999996</v>
      </c>
      <c r="G418" s="371">
        <f t="shared" si="147"/>
        <v>88777.021000000008</v>
      </c>
      <c r="H418" s="373">
        <f t="shared" si="148"/>
        <v>0.19626676817641803</v>
      </c>
      <c r="I418" s="371"/>
    </row>
    <row r="419" spans="1:9" x14ac:dyDescent="0.25">
      <c r="A419" t="s">
        <v>387</v>
      </c>
      <c r="B419" s="634">
        <v>42765</v>
      </c>
      <c r="C419" s="370">
        <v>6900</v>
      </c>
      <c r="D419" s="635">
        <v>14.793915999999999</v>
      </c>
      <c r="E419" s="371">
        <v>16.53</v>
      </c>
      <c r="F419" s="453">
        <f t="shared" si="146"/>
        <v>11978.979600000011</v>
      </c>
      <c r="G419" s="371">
        <f t="shared" si="147"/>
        <v>102078.02039999999</v>
      </c>
      <c r="H419" s="373">
        <f t="shared" si="148"/>
        <v>0.11735121383682331</v>
      </c>
      <c r="I419" s="371"/>
    </row>
    <row r="420" spans="1:9" x14ac:dyDescent="0.25">
      <c r="A420" t="s">
        <v>388</v>
      </c>
      <c r="B420" s="634">
        <v>42766</v>
      </c>
      <c r="C420" s="370">
        <v>6900</v>
      </c>
      <c r="D420" s="635">
        <v>14.783497000000001</v>
      </c>
      <c r="E420" s="371">
        <v>16.75</v>
      </c>
      <c r="F420" s="453">
        <f t="shared" si="146"/>
        <v>13568.870699999996</v>
      </c>
      <c r="G420" s="371">
        <f t="shared" si="147"/>
        <v>102006.1293</v>
      </c>
      <c r="H420" s="373">
        <f t="shared" si="148"/>
        <v>0.13302015078029233</v>
      </c>
      <c r="I420" s="371"/>
    </row>
    <row r="421" spans="1:9" x14ac:dyDescent="0.25">
      <c r="B421" s="634">
        <v>42767</v>
      </c>
      <c r="C421" s="370">
        <v>6000</v>
      </c>
      <c r="D421" s="635">
        <v>14.442175000000001</v>
      </c>
      <c r="E421" s="371">
        <v>16.59</v>
      </c>
      <c r="F421" s="453">
        <f t="shared" si="146"/>
        <v>12886.949999999995</v>
      </c>
      <c r="G421" s="371">
        <f t="shared" si="147"/>
        <v>86653.05</v>
      </c>
      <c r="H421" s="373">
        <f t="shared" si="148"/>
        <v>0.14871894295699914</v>
      </c>
      <c r="I421" s="371"/>
    </row>
    <row r="422" spans="1:9" x14ac:dyDescent="0.25">
      <c r="B422" s="634">
        <v>42767</v>
      </c>
      <c r="C422" s="370">
        <v>7000</v>
      </c>
      <c r="D422" s="635">
        <v>14.725436</v>
      </c>
      <c r="E422" s="371">
        <v>16.59</v>
      </c>
      <c r="F422" s="453">
        <f t="shared" si="146"/>
        <v>13051.947999999999</v>
      </c>
      <c r="G422" s="371">
        <f t="shared" si="147"/>
        <v>103078.052</v>
      </c>
      <c r="H422" s="373">
        <f t="shared" si="148"/>
        <v>0.1266219893251378</v>
      </c>
      <c r="I422" s="371"/>
    </row>
    <row r="423" spans="1:9" ht="15" customHeight="1" x14ac:dyDescent="0.25">
      <c r="B423" s="634">
        <v>42767</v>
      </c>
      <c r="C423" s="370">
        <v>7200</v>
      </c>
      <c r="D423" s="635">
        <v>14.771951</v>
      </c>
      <c r="E423" s="371">
        <v>16.59</v>
      </c>
      <c r="F423" s="453">
        <f t="shared" si="146"/>
        <v>13089.952800000001</v>
      </c>
      <c r="G423" s="371">
        <f t="shared" si="147"/>
        <v>106358.0472</v>
      </c>
      <c r="H423" s="373">
        <f t="shared" si="148"/>
        <v>0.12307439958337259</v>
      </c>
      <c r="I423" s="371"/>
    </row>
    <row r="424" spans="1:9" x14ac:dyDescent="0.25">
      <c r="A424" t="s">
        <v>392</v>
      </c>
      <c r="B424" s="634">
        <v>42767</v>
      </c>
      <c r="C424" s="370">
        <v>6500</v>
      </c>
      <c r="D424" s="635">
        <v>14.578353999999999</v>
      </c>
      <c r="E424" s="371">
        <v>16.59</v>
      </c>
      <c r="F424" s="453">
        <f t="shared" si="146"/>
        <v>13075.699000000004</v>
      </c>
      <c r="G424" s="371">
        <f t="shared" si="147"/>
        <v>94759.300999999992</v>
      </c>
      <c r="H424" s="373">
        <f t="shared" si="148"/>
        <v>0.13798855481215511</v>
      </c>
      <c r="I424" s="371"/>
    </row>
    <row r="425" spans="1:9" x14ac:dyDescent="0.25">
      <c r="A425" t="s">
        <v>394</v>
      </c>
      <c r="B425" s="634">
        <v>42768</v>
      </c>
      <c r="C425" s="370">
        <v>6000</v>
      </c>
      <c r="D425" s="635">
        <v>14.368788</v>
      </c>
      <c r="E425" s="371">
        <v>16.68</v>
      </c>
      <c r="F425" s="453">
        <f t="shared" si="146"/>
        <v>13867.271999999995</v>
      </c>
      <c r="G425" s="371">
        <f>IF(C425=0, 0,D425*C425)</f>
        <v>86212.728000000003</v>
      </c>
      <c r="H425" s="373">
        <f t="shared" si="148"/>
        <v>0.16084947456946261</v>
      </c>
      <c r="I425" s="371"/>
    </row>
    <row r="426" spans="1:9" x14ac:dyDescent="0.25">
      <c r="A426" t="s">
        <v>402</v>
      </c>
      <c r="B426" s="634">
        <v>42769</v>
      </c>
      <c r="C426" s="370">
        <v>5300</v>
      </c>
      <c r="D426" s="635">
        <v>14.006677</v>
      </c>
      <c r="E426" s="371">
        <v>17.23</v>
      </c>
      <c r="F426" s="453">
        <f t="shared" si="146"/>
        <v>17083.611900000004</v>
      </c>
      <c r="G426" s="371">
        <f t="shared" si="147"/>
        <v>74235.388099999996</v>
      </c>
      <c r="H426" s="373">
        <f t="shared" si="148"/>
        <v>0.2301276027140485</v>
      </c>
      <c r="I426" s="371"/>
    </row>
    <row r="427" spans="1:9" x14ac:dyDescent="0.25">
      <c r="A427" t="s">
        <v>412</v>
      </c>
      <c r="B427" s="634">
        <v>42772</v>
      </c>
      <c r="C427" s="370">
        <v>6000</v>
      </c>
      <c r="D427" s="635">
        <v>14.311230999999999</v>
      </c>
      <c r="E427" s="371">
        <v>16.52</v>
      </c>
      <c r="F427" s="453">
        <f t="shared" si="146"/>
        <v>13252.614000000001</v>
      </c>
      <c r="G427" s="371">
        <f t="shared" si="147"/>
        <v>85867.385999999999</v>
      </c>
      <c r="H427" s="373">
        <f t="shared" si="148"/>
        <v>0.15433815581622576</v>
      </c>
      <c r="I427" s="371"/>
    </row>
    <row r="428" spans="1:9" x14ac:dyDescent="0.25">
      <c r="A428" t="s">
        <v>417</v>
      </c>
      <c r="B428" s="634">
        <v>42773</v>
      </c>
      <c r="C428" s="370">
        <v>6600</v>
      </c>
      <c r="D428" s="635">
        <v>14.461574000000001</v>
      </c>
      <c r="E428" s="371">
        <v>16.03</v>
      </c>
      <c r="F428" s="453">
        <f t="shared" si="146"/>
        <v>10351.611600000004</v>
      </c>
      <c r="G428" s="371">
        <f t="shared" si="147"/>
        <v>95446.388400000011</v>
      </c>
      <c r="H428" s="373">
        <f t="shared" si="148"/>
        <v>0.10845472283998965</v>
      </c>
      <c r="I428" s="371"/>
    </row>
    <row r="429" spans="1:9" ht="15" customHeight="1" x14ac:dyDescent="0.25">
      <c r="A429" t="s">
        <v>440</v>
      </c>
      <c r="B429" s="634">
        <v>42781</v>
      </c>
      <c r="C429" s="370">
        <v>5700</v>
      </c>
      <c r="D429" s="635">
        <v>14.140828000000001</v>
      </c>
      <c r="E429" s="371">
        <v>16.3</v>
      </c>
      <c r="F429" s="453">
        <f t="shared" si="146"/>
        <v>12307.2804</v>
      </c>
      <c r="G429" s="371">
        <f t="shared" si="147"/>
        <v>80602.719600000011</v>
      </c>
      <c r="H429" s="373">
        <f t="shared" si="148"/>
        <v>0.1526906345229572</v>
      </c>
      <c r="I429" s="371"/>
    </row>
    <row r="430" spans="1:9" x14ac:dyDescent="0.25">
      <c r="A430" t="s">
        <v>442</v>
      </c>
      <c r="B430" s="634">
        <v>42782</v>
      </c>
      <c r="C430" s="370">
        <v>5700</v>
      </c>
      <c r="D430" s="635">
        <v>14.103</v>
      </c>
      <c r="E430" s="371">
        <v>16.170000000000002</v>
      </c>
      <c r="F430" s="453">
        <f t="shared" si="146"/>
        <v>11781.900000000011</v>
      </c>
      <c r="G430" s="371">
        <f t="shared" si="147"/>
        <v>80387.100000000006</v>
      </c>
      <c r="H430" s="373">
        <f t="shared" si="148"/>
        <v>0.14656456073175933</v>
      </c>
      <c r="I430" s="371"/>
    </row>
    <row r="431" spans="1:9" x14ac:dyDescent="0.25">
      <c r="B431" s="634"/>
      <c r="C431" s="370"/>
      <c r="D431" s="635"/>
      <c r="E431" s="371"/>
      <c r="F431" s="453"/>
      <c r="G431" s="371"/>
      <c r="H431" s="373"/>
      <c r="I431" s="371"/>
    </row>
    <row r="432" spans="1:9" x14ac:dyDescent="0.25">
      <c r="B432" s="634"/>
      <c r="C432" s="370"/>
      <c r="D432" s="635"/>
      <c r="E432" s="371"/>
      <c r="F432" s="453"/>
      <c r="G432" s="371"/>
      <c r="H432" s="373"/>
      <c r="I432" s="371"/>
    </row>
    <row r="433" spans="1:13" x14ac:dyDescent="0.25">
      <c r="B433" s="634"/>
      <c r="C433" s="370"/>
      <c r="D433" s="635"/>
      <c r="E433" s="371"/>
      <c r="F433" s="453"/>
      <c r="G433" s="371"/>
      <c r="H433" s="373"/>
      <c r="I433" s="371"/>
    </row>
    <row r="434" spans="1:13" x14ac:dyDescent="0.25">
      <c r="B434" s="634"/>
      <c r="C434" s="370"/>
      <c r="D434" s="635"/>
      <c r="E434" s="371"/>
      <c r="F434" s="453"/>
      <c r="G434" s="371"/>
      <c r="H434" s="373"/>
      <c r="I434" s="371"/>
    </row>
    <row r="438" spans="1:13" x14ac:dyDescent="0.25">
      <c r="L438" t="s">
        <v>65</v>
      </c>
      <c r="M438" s="231">
        <f>K701+M701-F701</f>
        <v>14615.571000001626</v>
      </c>
    </row>
    <row r="439" spans="1:13" x14ac:dyDescent="0.25">
      <c r="A439" s="524" t="s">
        <v>1</v>
      </c>
      <c r="B439" s="601" t="s">
        <v>2</v>
      </c>
      <c r="C439" s="524" t="s">
        <v>4</v>
      </c>
      <c r="D439" s="602" t="s">
        <v>5</v>
      </c>
      <c r="E439" s="525" t="s">
        <v>90</v>
      </c>
      <c r="F439" s="525" t="s">
        <v>60</v>
      </c>
      <c r="G439" s="524" t="s">
        <v>3</v>
      </c>
      <c r="H439" s="603" t="s">
        <v>6</v>
      </c>
      <c r="I439" s="602" t="s">
        <v>7</v>
      </c>
      <c r="J439" s="525" t="s">
        <v>89</v>
      </c>
      <c r="K439" s="525" t="s">
        <v>61</v>
      </c>
      <c r="L439" s="524" t="s">
        <v>37</v>
      </c>
      <c r="M439" s="525" t="s">
        <v>38</v>
      </c>
    </row>
    <row r="440" spans="1:13" x14ac:dyDescent="0.25">
      <c r="A440" s="526" t="s">
        <v>50</v>
      </c>
      <c r="B440" s="559">
        <v>42187</v>
      </c>
      <c r="C440" s="510">
        <v>1000</v>
      </c>
      <c r="D440" s="511">
        <v>27.25</v>
      </c>
      <c r="E440" s="512">
        <v>0</v>
      </c>
      <c r="F440" s="512">
        <f>C440*D440+E440</f>
        <v>27250</v>
      </c>
      <c r="G440" s="509">
        <v>42187</v>
      </c>
      <c r="H440" s="527">
        <v>2000</v>
      </c>
      <c r="I440" s="511">
        <v>27.34</v>
      </c>
      <c r="J440" s="512">
        <v>-5.49</v>
      </c>
      <c r="K440" s="512">
        <f>H440*I440-J440</f>
        <v>54685.49</v>
      </c>
      <c r="L440" s="509">
        <v>42257</v>
      </c>
      <c r="M440" s="512">
        <v>850.5</v>
      </c>
    </row>
    <row r="441" spans="1:13" x14ac:dyDescent="0.25">
      <c r="A441" s="528" t="s">
        <v>71</v>
      </c>
      <c r="B441" s="559">
        <v>42187</v>
      </c>
      <c r="C441" s="510">
        <v>80</v>
      </c>
      <c r="D441" s="511">
        <v>27.152249999999999</v>
      </c>
      <c r="E441" s="512">
        <v>0</v>
      </c>
      <c r="F441" s="512">
        <f t="shared" ref="F441:F504" si="149">C441*D441+E441</f>
        <v>2172.1799999999998</v>
      </c>
      <c r="G441" s="509">
        <v>42199</v>
      </c>
      <c r="H441" s="527">
        <v>102</v>
      </c>
      <c r="I441" s="511">
        <v>25.28</v>
      </c>
      <c r="J441" s="512">
        <v>0.05</v>
      </c>
      <c r="K441" s="512">
        <f t="shared" ref="K441:K468" si="150">H441*I441-J441</f>
        <v>2578.5099999999998</v>
      </c>
      <c r="L441" s="509">
        <v>42439</v>
      </c>
      <c r="M441" s="512">
        <v>483.9</v>
      </c>
    </row>
    <row r="442" spans="1:13" x14ac:dyDescent="0.25">
      <c r="A442" s="510"/>
      <c r="B442" s="559">
        <v>42187</v>
      </c>
      <c r="C442" s="510">
        <v>1000</v>
      </c>
      <c r="D442" s="511">
        <v>27.1</v>
      </c>
      <c r="E442" s="512">
        <v>0</v>
      </c>
      <c r="F442" s="512">
        <f t="shared" si="149"/>
        <v>27100</v>
      </c>
      <c r="G442" s="509">
        <v>42227</v>
      </c>
      <c r="H442" s="527">
        <v>200</v>
      </c>
      <c r="I442" s="511">
        <v>19.649999999999999</v>
      </c>
      <c r="J442" s="512">
        <v>7.0000000000000007E-2</v>
      </c>
      <c r="K442" s="512">
        <f t="shared" si="150"/>
        <v>3929.9299999999994</v>
      </c>
      <c r="L442" s="509">
        <v>42531</v>
      </c>
      <c r="M442" s="512">
        <v>483.9</v>
      </c>
    </row>
    <row r="443" spans="1:13" x14ac:dyDescent="0.25">
      <c r="A443" s="510"/>
      <c r="B443" s="622">
        <v>42187</v>
      </c>
      <c r="C443" s="510">
        <v>500</v>
      </c>
      <c r="D443" s="511">
        <v>27.039332999999999</v>
      </c>
      <c r="E443" s="512">
        <v>0</v>
      </c>
      <c r="F443" s="512">
        <f t="shared" si="149"/>
        <v>13519.666499999999</v>
      </c>
      <c r="G443" s="509">
        <v>42227</v>
      </c>
      <c r="H443" s="527">
        <v>200</v>
      </c>
      <c r="I443" s="511">
        <v>18.7</v>
      </c>
      <c r="J443" s="512">
        <v>7.0000000000000007E-2</v>
      </c>
      <c r="K443" s="512">
        <f t="shared" si="150"/>
        <v>3739.93</v>
      </c>
      <c r="L443" s="509">
        <v>42625</v>
      </c>
      <c r="M443" s="512">
        <v>433.9</v>
      </c>
    </row>
    <row r="444" spans="1:13" x14ac:dyDescent="0.25">
      <c r="A444" s="510"/>
      <c r="B444" s="622"/>
      <c r="C444" s="510">
        <v>500</v>
      </c>
      <c r="D444" s="511">
        <v>27.039332999999999</v>
      </c>
      <c r="E444" s="512">
        <v>0</v>
      </c>
      <c r="F444" s="512">
        <f t="shared" si="149"/>
        <v>13519.666499999999</v>
      </c>
      <c r="G444" s="509">
        <v>42257</v>
      </c>
      <c r="H444" s="527">
        <v>1600</v>
      </c>
      <c r="I444" s="511">
        <v>16.445</v>
      </c>
      <c r="J444" s="512">
        <v>0.48</v>
      </c>
      <c r="K444" s="512">
        <f t="shared" si="150"/>
        <v>26311.52</v>
      </c>
      <c r="L444" s="509">
        <v>42716</v>
      </c>
      <c r="M444" s="512">
        <v>500</v>
      </c>
    </row>
    <row r="445" spans="1:13" x14ac:dyDescent="0.25">
      <c r="A445" s="510"/>
      <c r="B445" s="622"/>
      <c r="C445" s="510">
        <v>500</v>
      </c>
      <c r="D445" s="511">
        <v>27.039332999999999</v>
      </c>
      <c r="E445" s="512">
        <v>0</v>
      </c>
      <c r="F445" s="512">
        <f t="shared" si="149"/>
        <v>13519.666499999999</v>
      </c>
      <c r="G445" s="623">
        <v>42265</v>
      </c>
      <c r="H445" s="527">
        <v>200</v>
      </c>
      <c r="I445" s="511">
        <v>15.65</v>
      </c>
      <c r="J445" s="512">
        <v>0.05</v>
      </c>
      <c r="K445" s="512">
        <f t="shared" si="150"/>
        <v>3129.95</v>
      </c>
      <c r="L445" s="510"/>
      <c r="M445" s="512"/>
    </row>
    <row r="446" spans="1:13" x14ac:dyDescent="0.25">
      <c r="A446" s="510"/>
      <c r="B446" s="622"/>
      <c r="C446" s="510">
        <v>500</v>
      </c>
      <c r="D446" s="511">
        <v>27.039332999999999</v>
      </c>
      <c r="E446" s="512">
        <v>0</v>
      </c>
      <c r="F446" s="512">
        <f t="shared" si="149"/>
        <v>13519.666499999999</v>
      </c>
      <c r="G446" s="623"/>
      <c r="H446" s="527">
        <v>2400</v>
      </c>
      <c r="I446" s="511">
        <v>15.7</v>
      </c>
      <c r="J446" s="512">
        <v>0.7</v>
      </c>
      <c r="K446" s="512">
        <f t="shared" si="150"/>
        <v>37679.300000000003</v>
      </c>
      <c r="L446" s="510"/>
      <c r="M446" s="512"/>
    </row>
    <row r="447" spans="1:13" x14ac:dyDescent="0.25">
      <c r="A447" s="510"/>
      <c r="B447" s="622"/>
      <c r="C447" s="510">
        <v>1000</v>
      </c>
      <c r="D447" s="511">
        <v>27.039332999999999</v>
      </c>
      <c r="E447" s="512">
        <v>0</v>
      </c>
      <c r="F447" s="512">
        <f t="shared" si="149"/>
        <v>27039.332999999999</v>
      </c>
      <c r="G447" s="509">
        <v>42271</v>
      </c>
      <c r="H447" s="604">
        <v>918</v>
      </c>
      <c r="I447" s="605">
        <v>16.45</v>
      </c>
      <c r="J447" s="606">
        <v>0.28000000000000003</v>
      </c>
      <c r="K447" s="606">
        <f t="shared" si="150"/>
        <v>15100.819999999998</v>
      </c>
      <c r="L447" s="510"/>
      <c r="M447" s="512"/>
    </row>
    <row r="448" spans="1:13" ht="60" x14ac:dyDescent="0.25">
      <c r="A448" s="510"/>
      <c r="B448" s="559">
        <v>42198</v>
      </c>
      <c r="C448" s="510">
        <v>100</v>
      </c>
      <c r="D448" s="511">
        <v>24.77</v>
      </c>
      <c r="E448" s="512">
        <v>0</v>
      </c>
      <c r="F448" s="512">
        <f t="shared" si="149"/>
        <v>2477</v>
      </c>
      <c r="G448" s="624" t="s">
        <v>139</v>
      </c>
      <c r="H448" s="527">
        <v>500</v>
      </c>
      <c r="I448" s="511">
        <v>15.95</v>
      </c>
      <c r="J448" s="512">
        <v>0.15</v>
      </c>
      <c r="K448" s="606">
        <f t="shared" si="150"/>
        <v>7974.85</v>
      </c>
      <c r="L448" s="510"/>
      <c r="M448" s="512"/>
    </row>
    <row r="449" spans="1:13" x14ac:dyDescent="0.25">
      <c r="A449" s="510"/>
      <c r="B449" s="559">
        <v>42205</v>
      </c>
      <c r="C449" s="510">
        <v>50</v>
      </c>
      <c r="D449" s="511">
        <v>24.35</v>
      </c>
      <c r="E449" s="512">
        <v>0</v>
      </c>
      <c r="F449" s="512">
        <f t="shared" si="149"/>
        <v>1217.5</v>
      </c>
      <c r="G449" s="624"/>
      <c r="H449" s="527">
        <v>500</v>
      </c>
      <c r="I449" s="511">
        <v>16.100000000000001</v>
      </c>
      <c r="J449" s="512">
        <v>0.15</v>
      </c>
      <c r="K449" s="606">
        <f t="shared" si="150"/>
        <v>8049.8500000000013</v>
      </c>
      <c r="L449" s="510"/>
      <c r="M449" s="512"/>
    </row>
    <row r="450" spans="1:13" ht="15" customHeight="1" x14ac:dyDescent="0.25">
      <c r="A450" s="510"/>
      <c r="B450" s="559">
        <v>42207</v>
      </c>
      <c r="C450" s="510">
        <v>20</v>
      </c>
      <c r="D450" s="511">
        <v>24.02</v>
      </c>
      <c r="E450" s="512">
        <v>0</v>
      </c>
      <c r="F450" s="512">
        <f t="shared" si="149"/>
        <v>480.4</v>
      </c>
      <c r="G450" s="624"/>
      <c r="H450" s="527">
        <v>500</v>
      </c>
      <c r="I450" s="511">
        <v>16.170000000000002</v>
      </c>
      <c r="J450" s="512">
        <v>0.15</v>
      </c>
      <c r="K450" s="606">
        <f t="shared" si="150"/>
        <v>8084.8500000000013</v>
      </c>
      <c r="L450" s="510"/>
      <c r="M450" s="512"/>
    </row>
    <row r="451" spans="1:13" x14ac:dyDescent="0.25">
      <c r="A451" s="510"/>
      <c r="B451" s="559">
        <v>42207</v>
      </c>
      <c r="C451" s="510">
        <v>20</v>
      </c>
      <c r="D451" s="511">
        <v>23.91</v>
      </c>
      <c r="E451" s="512">
        <v>0</v>
      </c>
      <c r="F451" s="512">
        <f t="shared" si="149"/>
        <v>478.2</v>
      </c>
      <c r="G451" s="624"/>
      <c r="H451" s="527">
        <v>500</v>
      </c>
      <c r="I451" s="511">
        <v>16.28</v>
      </c>
      <c r="J451" s="512">
        <v>0.15</v>
      </c>
      <c r="K451" s="606">
        <f t="shared" si="150"/>
        <v>8139.8500000000013</v>
      </c>
      <c r="L451" s="512"/>
      <c r="M451" s="512"/>
    </row>
    <row r="452" spans="1:13" x14ac:dyDescent="0.25">
      <c r="A452" s="510"/>
      <c r="B452" s="559">
        <v>42207</v>
      </c>
      <c r="C452" s="510">
        <v>20</v>
      </c>
      <c r="D452" s="511">
        <v>23.7</v>
      </c>
      <c r="E452" s="512">
        <v>0</v>
      </c>
      <c r="F452" s="512">
        <f t="shared" si="149"/>
        <v>474</v>
      </c>
      <c r="G452" s="624"/>
      <c r="H452" s="527">
        <v>500</v>
      </c>
      <c r="I452" s="511">
        <v>16.39</v>
      </c>
      <c r="J452" s="512">
        <v>0.15</v>
      </c>
      <c r="K452" s="606">
        <f t="shared" si="150"/>
        <v>8194.85</v>
      </c>
      <c r="L452" s="510"/>
      <c r="M452" s="512"/>
    </row>
    <row r="453" spans="1:13" x14ac:dyDescent="0.25">
      <c r="A453" s="510"/>
      <c r="B453" s="559">
        <v>42207</v>
      </c>
      <c r="C453" s="510">
        <v>20</v>
      </c>
      <c r="D453" s="511">
        <v>23.6</v>
      </c>
      <c r="E453" s="512">
        <v>0</v>
      </c>
      <c r="F453" s="512">
        <f t="shared" si="149"/>
        <v>472</v>
      </c>
      <c r="G453" s="624"/>
      <c r="H453" s="527">
        <v>500</v>
      </c>
      <c r="I453" s="511">
        <v>16.55</v>
      </c>
      <c r="J453" s="512">
        <v>0.17</v>
      </c>
      <c r="K453" s="606">
        <f t="shared" si="150"/>
        <v>8274.83</v>
      </c>
      <c r="L453" s="510"/>
      <c r="M453" s="512"/>
    </row>
    <row r="454" spans="1:13" x14ac:dyDescent="0.25">
      <c r="A454" s="510"/>
      <c r="B454" s="559">
        <v>42209</v>
      </c>
      <c r="C454" s="510">
        <v>40</v>
      </c>
      <c r="D454" s="511">
        <v>22.3</v>
      </c>
      <c r="E454" s="512">
        <v>0</v>
      </c>
      <c r="F454" s="512">
        <f t="shared" si="149"/>
        <v>892</v>
      </c>
      <c r="G454" s="624"/>
      <c r="H454" s="527">
        <v>50</v>
      </c>
      <c r="I454" s="511">
        <v>16.55</v>
      </c>
      <c r="J454" s="512">
        <v>0</v>
      </c>
      <c r="K454" s="606">
        <f t="shared" si="150"/>
        <v>827.5</v>
      </c>
      <c r="L454" s="510"/>
      <c r="M454" s="512"/>
    </row>
    <row r="455" spans="1:13" x14ac:dyDescent="0.25">
      <c r="A455" s="512"/>
      <c r="B455" s="559">
        <v>42221</v>
      </c>
      <c r="C455" s="510">
        <v>12</v>
      </c>
      <c r="D455" s="511">
        <v>20.95</v>
      </c>
      <c r="E455" s="512">
        <v>0</v>
      </c>
      <c r="F455" s="512">
        <f t="shared" si="149"/>
        <v>251.39999999999998</v>
      </c>
      <c r="G455" s="624"/>
      <c r="H455" s="527">
        <v>28</v>
      </c>
      <c r="I455" s="511">
        <v>16.68</v>
      </c>
      <c r="J455" s="512">
        <v>0.01</v>
      </c>
      <c r="K455" s="606">
        <f t="shared" si="150"/>
        <v>467.03</v>
      </c>
      <c r="L455" s="527"/>
      <c r="M455" s="512"/>
    </row>
    <row r="456" spans="1:13" x14ac:dyDescent="0.25">
      <c r="A456" s="510"/>
      <c r="B456" s="559">
        <v>42223</v>
      </c>
      <c r="C456" s="510">
        <v>100</v>
      </c>
      <c r="D456" s="511">
        <v>20.399999999999999</v>
      </c>
      <c r="E456" s="512">
        <v>0</v>
      </c>
      <c r="F456" s="512">
        <f t="shared" si="149"/>
        <v>2039.9999999999998</v>
      </c>
      <c r="G456" s="509">
        <v>42285</v>
      </c>
      <c r="H456" s="527">
        <v>632</v>
      </c>
      <c r="I456" s="511">
        <v>17.850000000000001</v>
      </c>
      <c r="J456" s="512">
        <v>0.21</v>
      </c>
      <c r="K456" s="606">
        <f t="shared" si="150"/>
        <v>11280.990000000002</v>
      </c>
      <c r="L456" s="512"/>
      <c r="M456" s="512"/>
    </row>
    <row r="457" spans="1:13" x14ac:dyDescent="0.25">
      <c r="A457" s="512"/>
      <c r="B457" s="559">
        <v>42226</v>
      </c>
      <c r="C457" s="510">
        <v>200</v>
      </c>
      <c r="D457" s="511">
        <v>19.95</v>
      </c>
      <c r="E457" s="512">
        <v>0</v>
      </c>
      <c r="F457" s="512">
        <f t="shared" si="149"/>
        <v>3990</v>
      </c>
      <c r="G457" s="509">
        <v>42297</v>
      </c>
      <c r="H457" s="527">
        <v>500</v>
      </c>
      <c r="I457" s="511">
        <v>19.149999999999999</v>
      </c>
      <c r="J457" s="512">
        <v>0.18</v>
      </c>
      <c r="K457" s="606">
        <f t="shared" si="150"/>
        <v>9574.82</v>
      </c>
      <c r="L457" s="510"/>
      <c r="M457" s="512"/>
    </row>
    <row r="458" spans="1:13" x14ac:dyDescent="0.25">
      <c r="A458" s="510"/>
      <c r="B458" s="559">
        <v>42226</v>
      </c>
      <c r="C458" s="510">
        <v>50</v>
      </c>
      <c r="D458" s="511">
        <v>20.010000000000002</v>
      </c>
      <c r="E458" s="512">
        <v>0</v>
      </c>
      <c r="F458" s="512">
        <f t="shared" si="149"/>
        <v>1000.5000000000001</v>
      </c>
      <c r="G458" s="509">
        <v>42300</v>
      </c>
      <c r="H458" s="527">
        <v>1000</v>
      </c>
      <c r="I458" s="511">
        <v>18.62</v>
      </c>
      <c r="J458" s="512">
        <v>0.34</v>
      </c>
      <c r="K458" s="606">
        <f t="shared" si="150"/>
        <v>18619.66</v>
      </c>
      <c r="L458" s="510"/>
      <c r="M458" s="512"/>
    </row>
    <row r="459" spans="1:13" x14ac:dyDescent="0.25">
      <c r="A459" s="510"/>
      <c r="B459" s="559">
        <v>42226</v>
      </c>
      <c r="C459" s="510">
        <v>100</v>
      </c>
      <c r="D459" s="511">
        <v>20.2</v>
      </c>
      <c r="E459" s="512">
        <v>0</v>
      </c>
      <c r="F459" s="512">
        <f t="shared" si="149"/>
        <v>2020</v>
      </c>
      <c r="G459" s="509">
        <v>42312</v>
      </c>
      <c r="H459" s="527">
        <v>2500</v>
      </c>
      <c r="I459" s="511">
        <v>18.48</v>
      </c>
      <c r="J459" s="512">
        <v>7.8</v>
      </c>
      <c r="K459" s="512">
        <f t="shared" si="150"/>
        <v>46192.2</v>
      </c>
      <c r="L459" s="510"/>
      <c r="M459" s="512"/>
    </row>
    <row r="460" spans="1:13" x14ac:dyDescent="0.25">
      <c r="A460" s="510"/>
      <c r="B460" s="559">
        <v>42227</v>
      </c>
      <c r="C460" s="510">
        <v>200</v>
      </c>
      <c r="D460" s="511">
        <v>18.399999999999999</v>
      </c>
      <c r="E460" s="512">
        <v>0</v>
      </c>
      <c r="F460" s="512">
        <f t="shared" si="149"/>
        <v>3679.9999999999995</v>
      </c>
      <c r="G460" s="509">
        <v>42313</v>
      </c>
      <c r="H460" s="527">
        <v>3000</v>
      </c>
      <c r="I460" s="511">
        <v>19.059999999999999</v>
      </c>
      <c r="J460" s="512">
        <v>1.05</v>
      </c>
      <c r="K460" s="512">
        <f t="shared" si="150"/>
        <v>57178.94999999999</v>
      </c>
      <c r="L460" s="510"/>
      <c r="M460" s="512"/>
    </row>
    <row r="461" spans="1:13" x14ac:dyDescent="0.25">
      <c r="A461" s="510"/>
      <c r="B461" s="559">
        <v>42227</v>
      </c>
      <c r="C461" s="510">
        <v>200</v>
      </c>
      <c r="D461" s="511">
        <v>19.55</v>
      </c>
      <c r="E461" s="512">
        <v>0</v>
      </c>
      <c r="F461" s="512">
        <f t="shared" si="149"/>
        <v>3910</v>
      </c>
      <c r="G461" s="509">
        <v>42324</v>
      </c>
      <c r="H461" s="527">
        <v>2500</v>
      </c>
      <c r="I461" s="511">
        <v>18.8</v>
      </c>
      <c r="J461" s="512">
        <v>0.86</v>
      </c>
      <c r="K461" s="512">
        <f t="shared" si="150"/>
        <v>46999.14</v>
      </c>
      <c r="L461" s="512"/>
      <c r="M461" s="512"/>
    </row>
    <row r="462" spans="1:13" x14ac:dyDescent="0.25">
      <c r="A462" s="510"/>
      <c r="B462" s="559">
        <v>42234</v>
      </c>
      <c r="C462" s="510">
        <v>40</v>
      </c>
      <c r="D462" s="511">
        <v>18.149999999999999</v>
      </c>
      <c r="E462" s="512">
        <v>0</v>
      </c>
      <c r="F462" s="512">
        <f t="shared" si="149"/>
        <v>726</v>
      </c>
      <c r="G462" s="509">
        <v>42335</v>
      </c>
      <c r="H462" s="527">
        <v>3078</v>
      </c>
      <c r="I462" s="511">
        <v>17.649999999999999</v>
      </c>
      <c r="J462" s="512">
        <v>1</v>
      </c>
      <c r="K462" s="512">
        <f t="shared" si="150"/>
        <v>54325.7</v>
      </c>
      <c r="L462" s="510"/>
      <c r="M462" s="512"/>
    </row>
    <row r="463" spans="1:13" x14ac:dyDescent="0.25">
      <c r="A463" s="510"/>
      <c r="B463" s="559">
        <v>42234</v>
      </c>
      <c r="C463" s="510">
        <v>100</v>
      </c>
      <c r="D463" s="511">
        <v>18</v>
      </c>
      <c r="E463" s="512">
        <v>0</v>
      </c>
      <c r="F463" s="512">
        <f t="shared" si="149"/>
        <v>1800</v>
      </c>
      <c r="G463" s="509">
        <v>42347</v>
      </c>
      <c r="H463" s="527">
        <v>500</v>
      </c>
      <c r="I463" s="511">
        <v>16.149999999999999</v>
      </c>
      <c r="J463" s="512">
        <v>0.15</v>
      </c>
      <c r="K463" s="512">
        <f t="shared" si="150"/>
        <v>8074.8499999999995</v>
      </c>
      <c r="L463" s="510"/>
      <c r="M463" s="512"/>
    </row>
    <row r="464" spans="1:13" x14ac:dyDescent="0.25">
      <c r="A464" s="510"/>
      <c r="B464" s="559">
        <v>42235</v>
      </c>
      <c r="C464" s="510">
        <v>100</v>
      </c>
      <c r="D464" s="511">
        <v>17.78</v>
      </c>
      <c r="E464" s="512">
        <v>0</v>
      </c>
      <c r="F464" s="512">
        <f t="shared" si="149"/>
        <v>1778</v>
      </c>
      <c r="G464" s="509">
        <v>42353</v>
      </c>
      <c r="H464" s="527">
        <v>600</v>
      </c>
      <c r="I464" s="511">
        <v>14.95</v>
      </c>
      <c r="J464" s="512">
        <v>0.17</v>
      </c>
      <c r="K464" s="512">
        <f t="shared" si="150"/>
        <v>8969.83</v>
      </c>
      <c r="L464" s="510"/>
      <c r="M464" s="512"/>
    </row>
    <row r="465" spans="1:13" x14ac:dyDescent="0.25">
      <c r="A465" s="510"/>
      <c r="B465" s="559">
        <v>42235</v>
      </c>
      <c r="C465" s="510">
        <v>100</v>
      </c>
      <c r="D465" s="511">
        <v>17.68</v>
      </c>
      <c r="E465" s="512">
        <v>0</v>
      </c>
      <c r="F465" s="512">
        <f t="shared" si="149"/>
        <v>1768</v>
      </c>
      <c r="G465" s="509">
        <v>42354</v>
      </c>
      <c r="H465" s="527">
        <v>500</v>
      </c>
      <c r="I465" s="511">
        <v>14.32</v>
      </c>
      <c r="J465" s="512">
        <v>0.13</v>
      </c>
      <c r="K465" s="512">
        <f t="shared" si="150"/>
        <v>7159.87</v>
      </c>
      <c r="L465" s="510"/>
      <c r="M465" s="512"/>
    </row>
    <row r="466" spans="1:13" x14ac:dyDescent="0.25">
      <c r="A466" s="510"/>
      <c r="B466" s="559">
        <v>42240</v>
      </c>
      <c r="C466" s="510">
        <v>100</v>
      </c>
      <c r="D466" s="511">
        <v>16.649999999999999</v>
      </c>
      <c r="E466" s="512">
        <v>0</v>
      </c>
      <c r="F466" s="512">
        <f t="shared" si="149"/>
        <v>1664.9999999999998</v>
      </c>
      <c r="G466" s="509">
        <v>42361</v>
      </c>
      <c r="H466" s="527">
        <v>500</v>
      </c>
      <c r="I466" s="511">
        <v>12.83</v>
      </c>
      <c r="J466" s="512">
        <v>0.12</v>
      </c>
      <c r="K466" s="512">
        <f t="shared" si="150"/>
        <v>6414.88</v>
      </c>
      <c r="L466" s="510"/>
      <c r="M466" s="512"/>
    </row>
    <row r="467" spans="1:13" x14ac:dyDescent="0.25">
      <c r="A467" s="510"/>
      <c r="B467" s="559">
        <v>42240</v>
      </c>
      <c r="C467" s="510">
        <v>100</v>
      </c>
      <c r="D467" s="511">
        <v>16.100000000000001</v>
      </c>
      <c r="E467" s="512">
        <v>0</v>
      </c>
      <c r="F467" s="512">
        <f t="shared" si="149"/>
        <v>1610.0000000000002</v>
      </c>
      <c r="G467" s="509">
        <v>42362</v>
      </c>
      <c r="H467" s="527">
        <v>1222</v>
      </c>
      <c r="I467" s="511">
        <v>12.75</v>
      </c>
      <c r="J467" s="512">
        <v>0.28999999999999998</v>
      </c>
      <c r="K467" s="512">
        <f t="shared" si="150"/>
        <v>15580.21</v>
      </c>
      <c r="L467" s="510"/>
      <c r="M467" s="512"/>
    </row>
    <row r="468" spans="1:13" x14ac:dyDescent="0.25">
      <c r="A468" s="510"/>
      <c r="B468" s="559">
        <v>42257</v>
      </c>
      <c r="C468" s="510">
        <v>1500</v>
      </c>
      <c r="D468" s="511">
        <v>16.350000000000001</v>
      </c>
      <c r="E468" s="512">
        <v>0</v>
      </c>
      <c r="F468" s="512">
        <f t="shared" si="149"/>
        <v>24525.000000000004</v>
      </c>
      <c r="G468" s="509">
        <v>42367</v>
      </c>
      <c r="H468" s="527">
        <v>1000</v>
      </c>
      <c r="I468" s="511">
        <v>13.15</v>
      </c>
      <c r="J468" s="512">
        <v>0.24</v>
      </c>
      <c r="K468" s="512">
        <f t="shared" si="150"/>
        <v>13149.76</v>
      </c>
      <c r="L468" s="510"/>
      <c r="M468" s="512"/>
    </row>
    <row r="469" spans="1:13" x14ac:dyDescent="0.25">
      <c r="A469" s="510"/>
      <c r="B469" s="559">
        <v>42258</v>
      </c>
      <c r="C469" s="510">
        <v>100</v>
      </c>
      <c r="D469" s="511">
        <v>16.100000000000001</v>
      </c>
      <c r="E469" s="512">
        <v>0</v>
      </c>
      <c r="F469" s="512">
        <f t="shared" si="149"/>
        <v>1610.0000000000002</v>
      </c>
      <c r="G469" s="509">
        <v>42367</v>
      </c>
      <c r="H469" s="527">
        <v>2178</v>
      </c>
      <c r="I469" s="511">
        <v>13.75</v>
      </c>
      <c r="J469" s="512">
        <v>0.55000000000000004</v>
      </c>
      <c r="K469" s="512">
        <f>H469*I469-J469</f>
        <v>29946.95</v>
      </c>
      <c r="L469" s="510"/>
      <c r="M469" s="512"/>
    </row>
    <row r="470" spans="1:13" ht="15" customHeight="1" x14ac:dyDescent="0.25">
      <c r="A470" s="510"/>
      <c r="B470" s="559">
        <v>42261</v>
      </c>
      <c r="C470" s="510">
        <v>1000</v>
      </c>
      <c r="D470" s="511">
        <v>15.416</v>
      </c>
      <c r="E470" s="512">
        <v>0</v>
      </c>
      <c r="F470" s="512">
        <f t="shared" si="149"/>
        <v>15416</v>
      </c>
      <c r="G470" s="509">
        <v>42010</v>
      </c>
      <c r="H470" s="527">
        <v>1000</v>
      </c>
      <c r="I470" s="511">
        <v>12.63</v>
      </c>
      <c r="J470" s="512">
        <v>0.23</v>
      </c>
      <c r="K470" s="512">
        <f>H470*I470-J470</f>
        <v>12629.77</v>
      </c>
      <c r="L470" s="510"/>
      <c r="M470" s="512"/>
    </row>
    <row r="471" spans="1:13" x14ac:dyDescent="0.25">
      <c r="A471" s="510"/>
      <c r="B471" s="559">
        <v>42261</v>
      </c>
      <c r="C471" s="510">
        <v>1000</v>
      </c>
      <c r="D471" s="511">
        <v>15.1</v>
      </c>
      <c r="E471" s="512">
        <v>0</v>
      </c>
      <c r="F471" s="512">
        <f t="shared" si="149"/>
        <v>15100</v>
      </c>
      <c r="G471" s="607">
        <v>42374</v>
      </c>
      <c r="H471" s="527">
        <v>2000</v>
      </c>
      <c r="I471" s="511">
        <v>12.81</v>
      </c>
      <c r="J471" s="512">
        <v>0.47</v>
      </c>
      <c r="K471" s="512">
        <f t="shared" ref="K471:K483" si="151">H471*I471-J471</f>
        <v>25619.53</v>
      </c>
      <c r="L471" s="510"/>
      <c r="M471" s="512"/>
    </row>
    <row r="472" spans="1:13" x14ac:dyDescent="0.25">
      <c r="A472" s="510"/>
      <c r="B472" s="559">
        <v>42261</v>
      </c>
      <c r="C472" s="510">
        <v>200</v>
      </c>
      <c r="D472" s="511">
        <v>14.87</v>
      </c>
      <c r="E472" s="512">
        <v>0</v>
      </c>
      <c r="F472" s="512">
        <f t="shared" si="149"/>
        <v>2974</v>
      </c>
      <c r="G472" s="509">
        <v>42374</v>
      </c>
      <c r="H472" s="527">
        <v>1000</v>
      </c>
      <c r="I472" s="511">
        <v>12.82</v>
      </c>
      <c r="J472" s="512">
        <v>0.24</v>
      </c>
      <c r="K472" s="512">
        <f t="shared" si="151"/>
        <v>12819.76</v>
      </c>
      <c r="L472" s="510"/>
      <c r="M472" s="512"/>
    </row>
    <row r="473" spans="1:13" x14ac:dyDescent="0.25">
      <c r="A473" s="510"/>
      <c r="B473" s="559">
        <v>42261</v>
      </c>
      <c r="C473" s="510">
        <v>300</v>
      </c>
      <c r="D473" s="511">
        <v>14.87</v>
      </c>
      <c r="E473" s="512">
        <v>0</v>
      </c>
      <c r="F473" s="512">
        <f t="shared" si="149"/>
        <v>4461</v>
      </c>
      <c r="G473" s="509">
        <v>42398</v>
      </c>
      <c r="H473" s="527">
        <v>400</v>
      </c>
      <c r="I473" s="511">
        <v>9.5500000000000007</v>
      </c>
      <c r="J473" s="512">
        <v>7.0000000000000007E-2</v>
      </c>
      <c r="K473" s="512">
        <f t="shared" si="151"/>
        <v>3819.9300000000003</v>
      </c>
      <c r="L473" s="510"/>
      <c r="M473" s="512"/>
    </row>
    <row r="474" spans="1:13" x14ac:dyDescent="0.25">
      <c r="A474" s="510"/>
      <c r="B474" s="559">
        <v>42270</v>
      </c>
      <c r="C474" s="510">
        <v>478</v>
      </c>
      <c r="D474" s="511">
        <v>15.85</v>
      </c>
      <c r="E474" s="512">
        <v>0</v>
      </c>
      <c r="F474" s="512">
        <f t="shared" si="149"/>
        <v>7576.3</v>
      </c>
      <c r="G474" s="509">
        <v>42411</v>
      </c>
      <c r="H474" s="527">
        <v>500</v>
      </c>
      <c r="I474" s="511">
        <v>6.97</v>
      </c>
      <c r="J474" s="512">
        <v>0.08</v>
      </c>
      <c r="K474" s="512">
        <f t="shared" si="151"/>
        <v>3484.92</v>
      </c>
      <c r="L474" s="510"/>
      <c r="M474" s="512"/>
    </row>
    <row r="475" spans="1:13" x14ac:dyDescent="0.25">
      <c r="A475" s="510"/>
      <c r="B475" s="559">
        <v>42292</v>
      </c>
      <c r="C475" s="510">
        <v>500</v>
      </c>
      <c r="D475" s="511">
        <v>18.55</v>
      </c>
      <c r="E475" s="512">
        <v>0</v>
      </c>
      <c r="F475" s="512">
        <f t="shared" si="149"/>
        <v>9275</v>
      </c>
      <c r="G475" s="509">
        <v>42412</v>
      </c>
      <c r="H475" s="527">
        <v>200</v>
      </c>
      <c r="I475" s="511">
        <v>7.45</v>
      </c>
      <c r="J475" s="512">
        <v>0.03</v>
      </c>
      <c r="K475" s="512">
        <f t="shared" si="151"/>
        <v>1489.97</v>
      </c>
      <c r="L475" s="510"/>
      <c r="M475" s="512"/>
    </row>
    <row r="476" spans="1:13" x14ac:dyDescent="0.25">
      <c r="A476" s="510"/>
      <c r="B476" s="559">
        <v>42299</v>
      </c>
      <c r="C476" s="510">
        <v>500</v>
      </c>
      <c r="D476" s="511">
        <v>18.55</v>
      </c>
      <c r="E476" s="512">
        <v>0</v>
      </c>
      <c r="F476" s="512">
        <f t="shared" si="149"/>
        <v>9275</v>
      </c>
      <c r="G476" s="509">
        <v>42416</v>
      </c>
      <c r="H476" s="527">
        <v>500</v>
      </c>
      <c r="I476" s="511">
        <v>7.75</v>
      </c>
      <c r="J476" s="512">
        <v>0.08</v>
      </c>
      <c r="K476" s="512">
        <f t="shared" si="151"/>
        <v>3874.92</v>
      </c>
      <c r="L476" s="510"/>
      <c r="M476" s="512"/>
    </row>
    <row r="477" spans="1:13" x14ac:dyDescent="0.25">
      <c r="A477" s="510"/>
      <c r="B477" s="559">
        <v>42299</v>
      </c>
      <c r="C477" s="510">
        <v>500</v>
      </c>
      <c r="D477" s="511">
        <v>18.28</v>
      </c>
      <c r="E477" s="512">
        <v>0</v>
      </c>
      <c r="F477" s="512">
        <f t="shared" si="149"/>
        <v>9140</v>
      </c>
      <c r="G477" s="509">
        <v>42422</v>
      </c>
      <c r="H477" s="527">
        <v>2500</v>
      </c>
      <c r="I477" s="511">
        <v>7.47</v>
      </c>
      <c r="J477" s="512">
        <v>0.41</v>
      </c>
      <c r="K477" s="512">
        <f t="shared" si="151"/>
        <v>18674.59</v>
      </c>
      <c r="L477" s="510"/>
      <c r="M477" s="512"/>
    </row>
    <row r="478" spans="1:13" x14ac:dyDescent="0.25">
      <c r="A478" s="510"/>
      <c r="B478" s="559">
        <v>42299</v>
      </c>
      <c r="C478" s="510">
        <v>1000</v>
      </c>
      <c r="D478" s="511">
        <v>18.100000000000001</v>
      </c>
      <c r="E478" s="512">
        <v>0</v>
      </c>
      <c r="F478" s="512">
        <f t="shared" si="149"/>
        <v>18100</v>
      </c>
      <c r="G478" s="509">
        <v>42422</v>
      </c>
      <c r="H478" s="527">
        <v>1000</v>
      </c>
      <c r="I478" s="511">
        <v>7.49</v>
      </c>
      <c r="J478" s="512">
        <v>0.16</v>
      </c>
      <c r="K478" s="512">
        <f t="shared" si="151"/>
        <v>7489.84</v>
      </c>
      <c r="L478" s="510"/>
      <c r="M478" s="512"/>
    </row>
    <row r="479" spans="1:13" ht="15" customHeight="1" x14ac:dyDescent="0.25">
      <c r="A479" s="510"/>
      <c r="B479" s="622">
        <v>42306</v>
      </c>
      <c r="C479" s="510">
        <v>660</v>
      </c>
      <c r="D479" s="511">
        <v>17.8</v>
      </c>
      <c r="E479" s="512">
        <v>0</v>
      </c>
      <c r="F479" s="512">
        <f t="shared" si="149"/>
        <v>11748</v>
      </c>
      <c r="G479" s="509">
        <v>42426</v>
      </c>
      <c r="H479" s="527">
        <v>900</v>
      </c>
      <c r="I479" s="511">
        <v>7.7</v>
      </c>
      <c r="J479" s="512">
        <v>0.15</v>
      </c>
      <c r="K479" s="512">
        <f t="shared" si="151"/>
        <v>6929.85</v>
      </c>
      <c r="L479" s="510"/>
      <c r="M479" s="512"/>
    </row>
    <row r="480" spans="1:13" ht="30" x14ac:dyDescent="0.25">
      <c r="A480" s="510"/>
      <c r="B480" s="622"/>
      <c r="C480" s="510">
        <v>340</v>
      </c>
      <c r="D480" s="511">
        <v>17.8</v>
      </c>
      <c r="E480" s="512">
        <v>0</v>
      </c>
      <c r="F480" s="512">
        <f t="shared" si="149"/>
        <v>6052</v>
      </c>
      <c r="G480" s="625" t="s">
        <v>181</v>
      </c>
      <c r="H480" s="527">
        <v>500</v>
      </c>
      <c r="I480" s="511">
        <v>7.73</v>
      </c>
      <c r="J480" s="512">
        <v>0.08</v>
      </c>
      <c r="K480" s="512">
        <f t="shared" si="151"/>
        <v>3864.92</v>
      </c>
      <c r="L480" s="510"/>
      <c r="M480" s="512"/>
    </row>
    <row r="481" spans="1:13" x14ac:dyDescent="0.25">
      <c r="A481" s="510"/>
      <c r="B481" s="559">
        <v>42312</v>
      </c>
      <c r="C481" s="608">
        <v>500</v>
      </c>
      <c r="D481" s="605">
        <v>17.559999999999999</v>
      </c>
      <c r="E481" s="606">
        <v>6.95</v>
      </c>
      <c r="F481" s="606">
        <f t="shared" si="149"/>
        <v>8786.9500000000007</v>
      </c>
      <c r="G481" s="625"/>
      <c r="H481" s="527">
        <v>500</v>
      </c>
      <c r="I481" s="511">
        <v>7.96</v>
      </c>
      <c r="J481" s="512">
        <v>0.09</v>
      </c>
      <c r="K481" s="512">
        <f t="shared" si="151"/>
        <v>3979.91</v>
      </c>
      <c r="L481" s="510"/>
      <c r="M481" s="512"/>
    </row>
    <row r="482" spans="1:13" x14ac:dyDescent="0.25">
      <c r="A482" s="510"/>
      <c r="B482" s="559">
        <v>42313</v>
      </c>
      <c r="C482" s="510">
        <v>3000</v>
      </c>
      <c r="D482" s="511">
        <v>19.05</v>
      </c>
      <c r="E482" s="512">
        <v>0</v>
      </c>
      <c r="F482" s="512">
        <f t="shared" si="149"/>
        <v>57150</v>
      </c>
      <c r="G482" s="625"/>
      <c r="H482" s="527">
        <v>500</v>
      </c>
      <c r="I482" s="511">
        <v>8.0299999999999994</v>
      </c>
      <c r="J482" s="512">
        <v>0.09</v>
      </c>
      <c r="K482" s="512">
        <f t="shared" si="151"/>
        <v>4014.9099999999994</v>
      </c>
      <c r="L482" s="510"/>
      <c r="M482" s="511"/>
    </row>
    <row r="483" spans="1:13" x14ac:dyDescent="0.25">
      <c r="A483" s="510"/>
      <c r="B483" s="559">
        <v>42320</v>
      </c>
      <c r="C483" s="510">
        <v>500</v>
      </c>
      <c r="D483" s="511">
        <v>18.079999999999998</v>
      </c>
      <c r="E483" s="512">
        <v>0</v>
      </c>
      <c r="F483" s="512">
        <f t="shared" si="149"/>
        <v>9040</v>
      </c>
      <c r="G483" s="625"/>
      <c r="H483" s="527">
        <v>1500</v>
      </c>
      <c r="I483" s="511">
        <v>8.1</v>
      </c>
      <c r="J483" s="512">
        <v>0.26</v>
      </c>
      <c r="K483" s="512">
        <f t="shared" si="151"/>
        <v>12149.74</v>
      </c>
      <c r="L483" s="510"/>
      <c r="M483" s="512"/>
    </row>
    <row r="484" spans="1:13" x14ac:dyDescent="0.25">
      <c r="A484" s="510"/>
      <c r="B484" s="559">
        <v>42320</v>
      </c>
      <c r="C484" s="510">
        <v>1000</v>
      </c>
      <c r="D484" s="511">
        <v>18.05</v>
      </c>
      <c r="E484" s="512">
        <v>0</v>
      </c>
      <c r="F484" s="512">
        <f t="shared" si="149"/>
        <v>18050</v>
      </c>
      <c r="G484" s="509">
        <v>42429</v>
      </c>
      <c r="H484" s="527">
        <v>1000</v>
      </c>
      <c r="I484" s="511">
        <v>8.5399999999999991</v>
      </c>
      <c r="J484" s="512">
        <v>0.19</v>
      </c>
      <c r="K484" s="512">
        <f>H484*I484-J484</f>
        <v>8539.81</v>
      </c>
      <c r="L484" s="510"/>
      <c r="M484" s="609"/>
    </row>
    <row r="485" spans="1:13" x14ac:dyDescent="0.25">
      <c r="A485" s="510"/>
      <c r="B485" s="559">
        <v>42320</v>
      </c>
      <c r="C485" s="510">
        <v>1000</v>
      </c>
      <c r="D485" s="511">
        <v>17.82</v>
      </c>
      <c r="E485" s="512">
        <v>0</v>
      </c>
      <c r="F485" s="512">
        <f t="shared" si="149"/>
        <v>17820</v>
      </c>
      <c r="G485" s="509">
        <v>42429</v>
      </c>
      <c r="H485" s="527">
        <v>500</v>
      </c>
      <c r="I485" s="511">
        <v>7.95</v>
      </c>
      <c r="J485" s="512">
        <v>0.09</v>
      </c>
      <c r="K485" s="512">
        <f>H485*I485-J485</f>
        <v>3974.91</v>
      </c>
      <c r="L485" s="510"/>
      <c r="M485" s="512"/>
    </row>
    <row r="486" spans="1:13" x14ac:dyDescent="0.25">
      <c r="A486" s="510"/>
      <c r="B486" s="559">
        <v>42328</v>
      </c>
      <c r="C486" s="510">
        <v>3078</v>
      </c>
      <c r="D486" s="511">
        <v>17.47</v>
      </c>
      <c r="E486" s="512">
        <v>0</v>
      </c>
      <c r="F486" s="512">
        <f t="shared" si="149"/>
        <v>53772.659999999996</v>
      </c>
      <c r="G486" s="509">
        <v>42429</v>
      </c>
      <c r="H486" s="527">
        <v>500</v>
      </c>
      <c r="I486" s="511">
        <v>7.97</v>
      </c>
      <c r="J486" s="512">
        <v>0.09</v>
      </c>
      <c r="K486" s="512">
        <f t="shared" ref="K486:K545" si="152">H486*I486-J486</f>
        <v>3984.91</v>
      </c>
      <c r="L486" s="510"/>
      <c r="M486" s="512"/>
    </row>
    <row r="487" spans="1:13" x14ac:dyDescent="0.25">
      <c r="A487" s="510"/>
      <c r="B487" s="559">
        <v>42340</v>
      </c>
      <c r="C487" s="510">
        <v>3078</v>
      </c>
      <c r="D487" s="511">
        <v>17.739999999999998</v>
      </c>
      <c r="E487" s="512">
        <v>0</v>
      </c>
      <c r="F487" s="512">
        <f t="shared" si="149"/>
        <v>54603.719999999994</v>
      </c>
      <c r="G487" s="509">
        <v>42430</v>
      </c>
      <c r="H487" s="527">
        <v>500</v>
      </c>
      <c r="I487" s="511">
        <v>7.85</v>
      </c>
      <c r="J487" s="512">
        <v>0.09</v>
      </c>
      <c r="K487" s="512">
        <f t="shared" si="152"/>
        <v>3924.91</v>
      </c>
      <c r="L487" s="510"/>
      <c r="M487" s="512"/>
    </row>
    <row r="488" spans="1:13" x14ac:dyDescent="0.25">
      <c r="A488" s="510"/>
      <c r="B488" s="559">
        <v>42340</v>
      </c>
      <c r="C488" s="510">
        <v>500</v>
      </c>
      <c r="D488" s="511">
        <v>17.5</v>
      </c>
      <c r="E488" s="512">
        <v>0</v>
      </c>
      <c r="F488" s="512">
        <f t="shared" si="149"/>
        <v>8750</v>
      </c>
      <c r="G488" s="509">
        <v>42430</v>
      </c>
      <c r="H488" s="527">
        <v>500</v>
      </c>
      <c r="I488" s="511">
        <v>8.0299999999999994</v>
      </c>
      <c r="J488" s="512">
        <v>0.09</v>
      </c>
      <c r="K488" s="512">
        <f t="shared" si="152"/>
        <v>4014.9099999999994</v>
      </c>
      <c r="L488" s="512"/>
      <c r="M488" s="512"/>
    </row>
    <row r="489" spans="1:13" x14ac:dyDescent="0.25">
      <c r="A489" s="510"/>
      <c r="B489" s="559">
        <v>42345</v>
      </c>
      <c r="C489" s="510">
        <v>100</v>
      </c>
      <c r="D489" s="511">
        <v>16.7</v>
      </c>
      <c r="E489" s="512">
        <v>0</v>
      </c>
      <c r="F489" s="512">
        <f t="shared" si="149"/>
        <v>1670</v>
      </c>
      <c r="G489" s="509">
        <v>42431</v>
      </c>
      <c r="H489" s="527">
        <v>500</v>
      </c>
      <c r="I489" s="511">
        <v>8.3800000000000008</v>
      </c>
      <c r="J489" s="512">
        <v>0.09</v>
      </c>
      <c r="K489" s="512">
        <f t="shared" si="152"/>
        <v>4189.91</v>
      </c>
      <c r="L489" s="512"/>
      <c r="M489" s="512"/>
    </row>
    <row r="490" spans="1:13" x14ac:dyDescent="0.25">
      <c r="A490" s="510"/>
      <c r="B490" s="559">
        <v>42345</v>
      </c>
      <c r="C490" s="510">
        <v>500</v>
      </c>
      <c r="D490" s="511">
        <v>16.850000000000001</v>
      </c>
      <c r="E490" s="512">
        <v>0</v>
      </c>
      <c r="F490" s="512">
        <f t="shared" si="149"/>
        <v>8425</v>
      </c>
      <c r="G490" s="509">
        <v>42431</v>
      </c>
      <c r="H490" s="527">
        <v>500</v>
      </c>
      <c r="I490" s="511">
        <v>8.58</v>
      </c>
      <c r="J490" s="512">
        <v>0.09</v>
      </c>
      <c r="K490" s="512">
        <f t="shared" si="152"/>
        <v>4289.91</v>
      </c>
      <c r="L490" s="510"/>
      <c r="M490" s="512"/>
    </row>
    <row r="491" spans="1:13" ht="30" x14ac:dyDescent="0.25">
      <c r="A491" s="510"/>
      <c r="B491" s="559">
        <v>42347</v>
      </c>
      <c r="C491" s="510">
        <v>500</v>
      </c>
      <c r="D491" s="511">
        <v>15.84</v>
      </c>
      <c r="E491" s="512">
        <v>0</v>
      </c>
      <c r="F491" s="512">
        <f t="shared" si="149"/>
        <v>7920</v>
      </c>
      <c r="G491" s="624" t="s">
        <v>183</v>
      </c>
      <c r="H491" s="527">
        <v>400</v>
      </c>
      <c r="I491" s="511">
        <v>9.09</v>
      </c>
      <c r="J491" s="512">
        <v>0.1</v>
      </c>
      <c r="K491" s="512">
        <f t="shared" si="152"/>
        <v>3635.9</v>
      </c>
      <c r="L491" s="510"/>
      <c r="M491" s="512"/>
    </row>
    <row r="492" spans="1:13" x14ac:dyDescent="0.25">
      <c r="A492" s="510"/>
      <c r="B492" s="559">
        <v>42348</v>
      </c>
      <c r="C492" s="510">
        <v>500</v>
      </c>
      <c r="D492" s="511">
        <v>14.78</v>
      </c>
      <c r="E492" s="512">
        <v>0</v>
      </c>
      <c r="F492" s="512">
        <f t="shared" si="149"/>
        <v>7390</v>
      </c>
      <c r="G492" s="624"/>
      <c r="H492" s="527">
        <v>100</v>
      </c>
      <c r="I492" s="511">
        <v>9.09</v>
      </c>
      <c r="J492" s="512">
        <v>0</v>
      </c>
      <c r="K492" s="512">
        <f t="shared" si="152"/>
        <v>909</v>
      </c>
      <c r="L492" s="510"/>
      <c r="M492" s="512"/>
    </row>
    <row r="493" spans="1:13" x14ac:dyDescent="0.25">
      <c r="A493" s="510"/>
      <c r="B493" s="559">
        <v>42352</v>
      </c>
      <c r="C493" s="510">
        <v>100</v>
      </c>
      <c r="D493" s="511">
        <v>14.57</v>
      </c>
      <c r="E493" s="512">
        <v>0</v>
      </c>
      <c r="F493" s="512">
        <f t="shared" si="149"/>
        <v>1457</v>
      </c>
      <c r="G493" s="624"/>
      <c r="H493" s="527">
        <v>500</v>
      </c>
      <c r="I493" s="511">
        <v>8.81</v>
      </c>
      <c r="J493" s="512">
        <v>0.1</v>
      </c>
      <c r="K493" s="512">
        <f t="shared" si="152"/>
        <v>4404.8999999999996</v>
      </c>
      <c r="L493" s="510"/>
      <c r="M493" s="512"/>
    </row>
    <row r="494" spans="1:13" x14ac:dyDescent="0.25">
      <c r="A494" s="510"/>
      <c r="B494" s="559">
        <v>42355</v>
      </c>
      <c r="C494" s="510">
        <v>500</v>
      </c>
      <c r="D494" s="511">
        <v>13.89</v>
      </c>
      <c r="E494" s="512">
        <v>0</v>
      </c>
      <c r="F494" s="512">
        <f t="shared" si="149"/>
        <v>6945</v>
      </c>
      <c r="G494" s="509">
        <v>42432</v>
      </c>
      <c r="H494" s="527">
        <v>600</v>
      </c>
      <c r="I494" s="511">
        <v>9.65</v>
      </c>
      <c r="J494" s="512">
        <v>0.13</v>
      </c>
      <c r="K494" s="512">
        <f t="shared" si="152"/>
        <v>5789.87</v>
      </c>
      <c r="L494" s="510"/>
      <c r="M494" s="512"/>
    </row>
    <row r="495" spans="1:13" x14ac:dyDescent="0.25">
      <c r="A495" s="510"/>
      <c r="B495" s="559">
        <v>42360</v>
      </c>
      <c r="C495" s="510">
        <v>500</v>
      </c>
      <c r="D495" s="511">
        <v>12.95</v>
      </c>
      <c r="E495" s="512">
        <v>0</v>
      </c>
      <c r="F495" s="512">
        <f t="shared" si="149"/>
        <v>6475</v>
      </c>
      <c r="G495" s="509">
        <v>42433</v>
      </c>
      <c r="H495" s="527">
        <v>600</v>
      </c>
      <c r="I495" s="511">
        <v>10.45</v>
      </c>
      <c r="J495" s="512">
        <v>0.14000000000000001</v>
      </c>
      <c r="K495" s="512">
        <f t="shared" si="152"/>
        <v>6269.86</v>
      </c>
      <c r="L495" s="510"/>
      <c r="M495" s="512"/>
    </row>
    <row r="496" spans="1:13" x14ac:dyDescent="0.25">
      <c r="A496" s="510"/>
      <c r="B496" s="559">
        <v>42361</v>
      </c>
      <c r="C496" s="510">
        <v>500</v>
      </c>
      <c r="D496" s="511">
        <v>12.75</v>
      </c>
      <c r="E496" s="512">
        <v>0</v>
      </c>
      <c r="F496" s="512">
        <f t="shared" si="149"/>
        <v>6375</v>
      </c>
      <c r="G496" s="509">
        <v>42440</v>
      </c>
      <c r="H496" s="527">
        <v>400</v>
      </c>
      <c r="I496" s="511">
        <v>11.25</v>
      </c>
      <c r="J496" s="512">
        <v>0.1</v>
      </c>
      <c r="K496" s="512">
        <f t="shared" si="152"/>
        <v>4499.8999999999996</v>
      </c>
      <c r="L496" s="510"/>
      <c r="M496" s="512"/>
    </row>
    <row r="497" spans="1:13" x14ac:dyDescent="0.25">
      <c r="A497" s="510"/>
      <c r="B497" s="559">
        <v>42361</v>
      </c>
      <c r="C497" s="510">
        <v>500</v>
      </c>
      <c r="D497" s="511">
        <v>12.8</v>
      </c>
      <c r="E497" s="512">
        <v>0</v>
      </c>
      <c r="F497" s="512">
        <f t="shared" si="149"/>
        <v>6400</v>
      </c>
      <c r="G497" s="509">
        <v>42446</v>
      </c>
      <c r="H497" s="527">
        <v>1500</v>
      </c>
      <c r="I497" s="511">
        <v>11.49</v>
      </c>
      <c r="J497" s="512">
        <v>0.38</v>
      </c>
      <c r="K497" s="512">
        <f t="shared" si="152"/>
        <v>17234.62</v>
      </c>
      <c r="L497" s="510"/>
      <c r="M497" s="512"/>
    </row>
    <row r="498" spans="1:13" x14ac:dyDescent="0.25">
      <c r="A498" s="510"/>
      <c r="B498" s="559">
        <v>42361</v>
      </c>
      <c r="C498" s="510">
        <v>1000</v>
      </c>
      <c r="D498" s="511">
        <v>12.67</v>
      </c>
      <c r="E498" s="512">
        <v>0</v>
      </c>
      <c r="F498" s="512">
        <f t="shared" si="149"/>
        <v>12670</v>
      </c>
      <c r="G498" s="509">
        <v>42447</v>
      </c>
      <c r="H498" s="527">
        <v>1500</v>
      </c>
      <c r="I498" s="511">
        <v>11.44</v>
      </c>
      <c r="J498" s="512">
        <v>0.37</v>
      </c>
      <c r="K498" s="512">
        <f t="shared" si="152"/>
        <v>17159.63</v>
      </c>
      <c r="L498" s="510"/>
      <c r="M498" s="512"/>
    </row>
    <row r="499" spans="1:13" x14ac:dyDescent="0.25">
      <c r="A499" s="510"/>
      <c r="B499" s="559">
        <v>42361</v>
      </c>
      <c r="C499" s="510">
        <v>222</v>
      </c>
      <c r="D499" s="511">
        <v>12.44</v>
      </c>
      <c r="E499" s="512">
        <v>0</v>
      </c>
      <c r="F499" s="512">
        <f t="shared" si="149"/>
        <v>2761.68</v>
      </c>
      <c r="G499" s="509">
        <v>42447</v>
      </c>
      <c r="H499" s="527">
        <v>500</v>
      </c>
      <c r="I499" s="511">
        <v>11.484999999999999</v>
      </c>
      <c r="J499" s="512">
        <v>0.13</v>
      </c>
      <c r="K499" s="512">
        <f t="shared" si="152"/>
        <v>5742.37</v>
      </c>
      <c r="L499" s="510"/>
      <c r="M499" s="512"/>
    </row>
    <row r="500" spans="1:13" x14ac:dyDescent="0.25">
      <c r="A500" s="510"/>
      <c r="B500" s="559">
        <v>42367</v>
      </c>
      <c r="C500" s="510">
        <v>2178</v>
      </c>
      <c r="D500" s="511">
        <v>13.68</v>
      </c>
      <c r="E500" s="512">
        <v>0</v>
      </c>
      <c r="F500" s="512">
        <f t="shared" si="149"/>
        <v>29795.040000000001</v>
      </c>
      <c r="G500" s="623">
        <v>42447</v>
      </c>
      <c r="H500" s="527">
        <v>650</v>
      </c>
      <c r="I500" s="511">
        <v>11.56</v>
      </c>
      <c r="J500" s="512">
        <v>0.25</v>
      </c>
      <c r="K500" s="512">
        <f t="shared" si="152"/>
        <v>7513.75</v>
      </c>
      <c r="L500" s="510"/>
      <c r="M500" s="512"/>
    </row>
    <row r="501" spans="1:13" x14ac:dyDescent="0.25">
      <c r="A501" s="510"/>
      <c r="B501" s="559">
        <v>42369</v>
      </c>
      <c r="C501" s="510">
        <v>2500</v>
      </c>
      <c r="D501" s="511">
        <v>13.04</v>
      </c>
      <c r="E501" s="512">
        <v>0</v>
      </c>
      <c r="F501" s="512">
        <f t="shared" si="149"/>
        <v>32599.999999999996</v>
      </c>
      <c r="G501" s="623"/>
      <c r="H501" s="527">
        <v>350</v>
      </c>
      <c r="I501" s="511">
        <v>11.56</v>
      </c>
      <c r="J501" s="512">
        <v>0</v>
      </c>
      <c r="K501" s="512">
        <f t="shared" si="152"/>
        <v>4046</v>
      </c>
      <c r="L501" s="510"/>
      <c r="M501" s="512"/>
    </row>
    <row r="502" spans="1:13" x14ac:dyDescent="0.25">
      <c r="A502" s="510"/>
      <c r="B502" s="559">
        <v>42008</v>
      </c>
      <c r="C502" s="510">
        <v>2000</v>
      </c>
      <c r="D502" s="511">
        <v>13.01</v>
      </c>
      <c r="E502" s="512">
        <v>0</v>
      </c>
      <c r="F502" s="512">
        <f t="shared" si="149"/>
        <v>26020</v>
      </c>
      <c r="G502" s="509">
        <v>42447</v>
      </c>
      <c r="H502" s="527">
        <v>1000</v>
      </c>
      <c r="I502" s="511">
        <v>11.62</v>
      </c>
      <c r="J502" s="512">
        <v>0.25</v>
      </c>
      <c r="K502" s="512">
        <f t="shared" si="152"/>
        <v>11619.75</v>
      </c>
      <c r="L502" s="510"/>
      <c r="M502" s="512"/>
    </row>
    <row r="503" spans="1:13" x14ac:dyDescent="0.25">
      <c r="A503" s="510"/>
      <c r="B503" s="559">
        <v>42009</v>
      </c>
      <c r="C503" s="510">
        <v>500</v>
      </c>
      <c r="D503" s="511">
        <v>12.62</v>
      </c>
      <c r="E503" s="512">
        <v>0</v>
      </c>
      <c r="F503" s="512">
        <f t="shared" si="149"/>
        <v>6310</v>
      </c>
      <c r="G503" s="509">
        <v>42451</v>
      </c>
      <c r="H503" s="527">
        <v>1000</v>
      </c>
      <c r="I503" s="511">
        <v>11.45</v>
      </c>
      <c r="J503" s="512">
        <v>0.25</v>
      </c>
      <c r="K503" s="512">
        <f t="shared" si="152"/>
        <v>11449.75</v>
      </c>
      <c r="L503" s="510"/>
      <c r="M503" s="512"/>
    </row>
    <row r="504" spans="1:13" ht="15" customHeight="1" x14ac:dyDescent="0.25">
      <c r="A504" s="510"/>
      <c r="B504" s="559">
        <v>42009</v>
      </c>
      <c r="C504" s="510">
        <v>500</v>
      </c>
      <c r="D504" s="511">
        <v>12.45</v>
      </c>
      <c r="E504" s="512">
        <v>0</v>
      </c>
      <c r="F504" s="512">
        <f t="shared" si="149"/>
        <v>6225</v>
      </c>
      <c r="G504" s="509">
        <v>42451</v>
      </c>
      <c r="H504" s="527">
        <v>50</v>
      </c>
      <c r="I504" s="511">
        <v>11.28</v>
      </c>
      <c r="J504" s="512">
        <v>0.01</v>
      </c>
      <c r="K504" s="512">
        <f t="shared" si="152"/>
        <v>563.99</v>
      </c>
      <c r="L504" s="510"/>
      <c r="M504" s="512"/>
    </row>
    <row r="505" spans="1:13" x14ac:dyDescent="0.25">
      <c r="A505" s="510"/>
      <c r="B505" s="610">
        <v>42374</v>
      </c>
      <c r="C505" s="510">
        <v>2000</v>
      </c>
      <c r="D505" s="511">
        <v>12.73</v>
      </c>
      <c r="E505" s="512">
        <v>0</v>
      </c>
      <c r="F505" s="512">
        <f t="shared" ref="F505:F568" si="153">C505*D505+E505</f>
        <v>25460</v>
      </c>
      <c r="G505" s="509">
        <v>42459</v>
      </c>
      <c r="H505" s="527">
        <v>2000</v>
      </c>
      <c r="I505" s="511">
        <v>10.75</v>
      </c>
      <c r="J505" s="512">
        <v>0.47</v>
      </c>
      <c r="K505" s="512">
        <f t="shared" si="152"/>
        <v>21499.53</v>
      </c>
      <c r="L505" s="510"/>
      <c r="M505" s="512"/>
    </row>
    <row r="506" spans="1:13" x14ac:dyDescent="0.25">
      <c r="A506" s="510"/>
      <c r="B506" s="559">
        <v>42375</v>
      </c>
      <c r="C506" s="510">
        <v>1000</v>
      </c>
      <c r="D506" s="511">
        <v>12.5</v>
      </c>
      <c r="E506" s="512">
        <v>0</v>
      </c>
      <c r="F506" s="512">
        <f t="shared" si="153"/>
        <v>12500</v>
      </c>
      <c r="G506" s="509">
        <v>42460</v>
      </c>
      <c r="H506" s="527">
        <v>1600</v>
      </c>
      <c r="I506" s="511">
        <v>10.95</v>
      </c>
      <c r="J506" s="512">
        <v>2.88</v>
      </c>
      <c r="K506" s="512">
        <f t="shared" si="152"/>
        <v>17517.12</v>
      </c>
      <c r="L506" s="510"/>
      <c r="M506" s="512"/>
    </row>
    <row r="507" spans="1:13" x14ac:dyDescent="0.25">
      <c r="A507" s="510"/>
      <c r="B507" s="559">
        <v>42375</v>
      </c>
      <c r="C507" s="510">
        <v>1000</v>
      </c>
      <c r="D507" s="511">
        <v>11.7</v>
      </c>
      <c r="E507" s="512">
        <v>0</v>
      </c>
      <c r="F507" s="512">
        <f t="shared" si="153"/>
        <v>11700</v>
      </c>
      <c r="G507" s="509">
        <v>42461</v>
      </c>
      <c r="H507" s="527">
        <v>2000</v>
      </c>
      <c r="I507" s="511">
        <v>10.52</v>
      </c>
      <c r="J507" s="512">
        <v>0.46</v>
      </c>
      <c r="K507" s="512">
        <f t="shared" si="152"/>
        <v>21039.54</v>
      </c>
      <c r="L507" s="510"/>
      <c r="M507" s="512"/>
    </row>
    <row r="508" spans="1:13" x14ac:dyDescent="0.25">
      <c r="A508" s="510"/>
      <c r="B508" s="559">
        <v>42402</v>
      </c>
      <c r="C508" s="510">
        <v>400</v>
      </c>
      <c r="D508" s="511">
        <v>9.1</v>
      </c>
      <c r="E508" s="512">
        <v>0</v>
      </c>
      <c r="F508" s="512">
        <f t="shared" si="153"/>
        <v>3640</v>
      </c>
      <c r="G508" s="509">
        <v>42461</v>
      </c>
      <c r="H508" s="527">
        <v>2000</v>
      </c>
      <c r="I508" s="511">
        <v>10.55</v>
      </c>
      <c r="J508" s="512">
        <v>0.46</v>
      </c>
      <c r="K508" s="512">
        <f t="shared" si="152"/>
        <v>21099.54</v>
      </c>
      <c r="L508" s="510"/>
      <c r="M508" s="512"/>
    </row>
    <row r="509" spans="1:13" x14ac:dyDescent="0.25">
      <c r="A509" s="510"/>
      <c r="B509" s="559">
        <v>42411</v>
      </c>
      <c r="C509" s="510">
        <v>500</v>
      </c>
      <c r="D509" s="511">
        <v>6.835</v>
      </c>
      <c r="E509" s="512">
        <v>0</v>
      </c>
      <c r="F509" s="512">
        <f t="shared" si="153"/>
        <v>3417.5</v>
      </c>
      <c r="G509" s="509">
        <v>42465</v>
      </c>
      <c r="H509" s="527">
        <v>100</v>
      </c>
      <c r="I509" s="511">
        <v>10.75</v>
      </c>
      <c r="J509" s="512">
        <v>0.02</v>
      </c>
      <c r="K509" s="512">
        <f t="shared" si="152"/>
        <v>1074.98</v>
      </c>
      <c r="L509" s="510"/>
      <c r="M509" s="512"/>
    </row>
    <row r="510" spans="1:13" x14ac:dyDescent="0.25">
      <c r="A510" s="510"/>
      <c r="B510" s="559">
        <v>42412</v>
      </c>
      <c r="C510" s="510">
        <v>200</v>
      </c>
      <c r="D510" s="511">
        <v>7.23</v>
      </c>
      <c r="E510" s="512">
        <v>0</v>
      </c>
      <c r="F510" s="512">
        <f t="shared" si="153"/>
        <v>1446</v>
      </c>
      <c r="G510" s="509">
        <v>42468</v>
      </c>
      <c r="H510" s="527">
        <v>1000</v>
      </c>
      <c r="I510" s="511">
        <v>11.77</v>
      </c>
      <c r="J510" s="512">
        <v>0.26</v>
      </c>
      <c r="K510" s="512">
        <f t="shared" si="152"/>
        <v>11769.74</v>
      </c>
      <c r="L510" s="510"/>
      <c r="M510" s="512"/>
    </row>
    <row r="511" spans="1:13" x14ac:dyDescent="0.25">
      <c r="A511" s="510"/>
      <c r="B511" s="559">
        <v>42416</v>
      </c>
      <c r="C511" s="510">
        <v>500</v>
      </c>
      <c r="D511" s="511">
        <v>7.5</v>
      </c>
      <c r="E511" s="512">
        <v>0</v>
      </c>
      <c r="F511" s="512">
        <f t="shared" si="153"/>
        <v>3750</v>
      </c>
      <c r="G511" s="623">
        <v>42472</v>
      </c>
      <c r="H511" s="527">
        <v>420</v>
      </c>
      <c r="I511" s="511">
        <v>13.35</v>
      </c>
      <c r="J511" s="512">
        <v>0.15</v>
      </c>
      <c r="K511" s="512">
        <f t="shared" si="152"/>
        <v>5606.85</v>
      </c>
      <c r="L511" s="510"/>
      <c r="M511" s="512"/>
    </row>
    <row r="512" spans="1:13" ht="30" x14ac:dyDescent="0.25">
      <c r="A512" s="510"/>
      <c r="B512" s="626" t="s">
        <v>179</v>
      </c>
      <c r="C512" s="510">
        <v>3000</v>
      </c>
      <c r="D512" s="511">
        <v>7.55</v>
      </c>
      <c r="E512" s="512">
        <v>0</v>
      </c>
      <c r="F512" s="512">
        <f t="shared" si="153"/>
        <v>22650</v>
      </c>
      <c r="G512" s="623"/>
      <c r="H512" s="527">
        <v>80</v>
      </c>
      <c r="I512" s="511">
        <v>13.35</v>
      </c>
      <c r="J512" s="512">
        <v>0</v>
      </c>
      <c r="K512" s="512">
        <f t="shared" si="152"/>
        <v>1068</v>
      </c>
      <c r="L512" s="510"/>
      <c r="M512" s="512"/>
    </row>
    <row r="513" spans="1:13" x14ac:dyDescent="0.25">
      <c r="A513" s="510"/>
      <c r="B513" s="626"/>
      <c r="C513" s="510">
        <v>500</v>
      </c>
      <c r="D513" s="511">
        <v>6.75</v>
      </c>
      <c r="E513" s="512">
        <v>0</v>
      </c>
      <c r="F513" s="512">
        <f t="shared" si="153"/>
        <v>3375</v>
      </c>
      <c r="G513" s="509">
        <v>42472</v>
      </c>
      <c r="H513" s="527">
        <v>500</v>
      </c>
      <c r="I513" s="511">
        <v>13.15</v>
      </c>
      <c r="J513" s="512">
        <v>0.14000000000000001</v>
      </c>
      <c r="K513" s="512">
        <f t="shared" si="152"/>
        <v>6574.86</v>
      </c>
      <c r="L513" s="510"/>
      <c r="M513" s="512"/>
    </row>
    <row r="514" spans="1:13" x14ac:dyDescent="0.25">
      <c r="A514" s="510"/>
      <c r="B514" s="626"/>
      <c r="C514" s="510">
        <v>300</v>
      </c>
      <c r="D514" s="511">
        <v>6.75</v>
      </c>
      <c r="E514" s="512">
        <v>0</v>
      </c>
      <c r="F514" s="512">
        <f t="shared" si="153"/>
        <v>2025</v>
      </c>
      <c r="G514" s="509">
        <v>42472</v>
      </c>
      <c r="H514" s="527">
        <v>500</v>
      </c>
      <c r="I514" s="511">
        <v>12.92</v>
      </c>
      <c r="J514" s="512">
        <v>0.14000000000000001</v>
      </c>
      <c r="K514" s="512">
        <f t="shared" si="152"/>
        <v>6459.86</v>
      </c>
      <c r="L514" s="510"/>
      <c r="M514" s="512"/>
    </row>
    <row r="515" spans="1:13" x14ac:dyDescent="0.25">
      <c r="A515" s="510"/>
      <c r="B515" s="559">
        <v>42426</v>
      </c>
      <c r="C515" s="510">
        <v>600</v>
      </c>
      <c r="D515" s="511">
        <v>7.63</v>
      </c>
      <c r="E515" s="512">
        <v>0</v>
      </c>
      <c r="F515" s="512">
        <f t="shared" si="153"/>
        <v>4578</v>
      </c>
      <c r="G515" s="509">
        <v>42472</v>
      </c>
      <c r="H515" s="527">
        <v>500</v>
      </c>
      <c r="I515" s="511">
        <v>12.59</v>
      </c>
      <c r="J515" s="512">
        <v>0.14000000000000001</v>
      </c>
      <c r="K515" s="512">
        <f t="shared" si="152"/>
        <v>6294.86</v>
      </c>
      <c r="L515" s="510"/>
      <c r="M515" s="512"/>
    </row>
    <row r="516" spans="1:13" x14ac:dyDescent="0.25">
      <c r="A516" s="510"/>
      <c r="B516" s="559">
        <v>42426</v>
      </c>
      <c r="C516" s="510">
        <v>2000</v>
      </c>
      <c r="D516" s="511">
        <v>7.95</v>
      </c>
      <c r="E516" s="512">
        <v>0</v>
      </c>
      <c r="F516" s="512">
        <f t="shared" si="153"/>
        <v>15900</v>
      </c>
      <c r="G516" s="509">
        <v>42474</v>
      </c>
      <c r="H516" s="527">
        <v>500</v>
      </c>
      <c r="I516" s="511">
        <v>13.18</v>
      </c>
      <c r="J516" s="512">
        <v>0.14000000000000001</v>
      </c>
      <c r="K516" s="512">
        <f t="shared" si="152"/>
        <v>6589.86</v>
      </c>
      <c r="L516" s="510"/>
      <c r="M516" s="512"/>
    </row>
    <row r="517" spans="1:13" x14ac:dyDescent="0.25">
      <c r="A517" s="510"/>
      <c r="B517" s="559">
        <v>42429</v>
      </c>
      <c r="C517" s="510">
        <v>2000</v>
      </c>
      <c r="D517" s="511">
        <v>8.1999999999999993</v>
      </c>
      <c r="E517" s="512">
        <v>0</v>
      </c>
      <c r="F517" s="512">
        <f t="shared" si="153"/>
        <v>16400</v>
      </c>
      <c r="G517" s="509">
        <v>42478</v>
      </c>
      <c r="H517" s="527">
        <v>500</v>
      </c>
      <c r="I517" s="511">
        <v>13.4</v>
      </c>
      <c r="J517" s="512">
        <v>0.15</v>
      </c>
      <c r="K517" s="512">
        <f t="shared" si="152"/>
        <v>6699.85</v>
      </c>
      <c r="L517" s="510"/>
      <c r="M517" s="512"/>
    </row>
    <row r="518" spans="1:13" x14ac:dyDescent="0.25">
      <c r="A518" s="512"/>
      <c r="B518" s="559">
        <v>42429</v>
      </c>
      <c r="C518" s="510">
        <v>500</v>
      </c>
      <c r="D518" s="511">
        <v>7.88</v>
      </c>
      <c r="E518" s="512">
        <v>0</v>
      </c>
      <c r="F518" s="512">
        <f t="shared" si="153"/>
        <v>3940</v>
      </c>
      <c r="G518" s="509">
        <v>42486</v>
      </c>
      <c r="H518" s="527">
        <v>500</v>
      </c>
      <c r="I518" s="511">
        <v>14.35</v>
      </c>
      <c r="J518" s="512">
        <v>0.16</v>
      </c>
      <c r="K518" s="512">
        <f t="shared" si="152"/>
        <v>7174.84</v>
      </c>
      <c r="L518" s="510"/>
      <c r="M518" s="512"/>
    </row>
    <row r="519" spans="1:13" x14ac:dyDescent="0.25">
      <c r="A519" s="510"/>
      <c r="B519" s="559">
        <v>42430</v>
      </c>
      <c r="C519" s="510">
        <v>1000</v>
      </c>
      <c r="D519" s="511">
        <v>7.77</v>
      </c>
      <c r="E519" s="512">
        <v>0</v>
      </c>
      <c r="F519" s="512">
        <f t="shared" si="153"/>
        <v>7770</v>
      </c>
      <c r="G519" s="509">
        <v>42487</v>
      </c>
      <c r="H519" s="527">
        <v>600</v>
      </c>
      <c r="I519" s="511">
        <v>14.85</v>
      </c>
      <c r="J519" s="512">
        <v>0.19</v>
      </c>
      <c r="K519" s="512">
        <f t="shared" si="152"/>
        <v>8909.81</v>
      </c>
      <c r="L519" s="510"/>
      <c r="M519" s="512"/>
    </row>
    <row r="520" spans="1:13" x14ac:dyDescent="0.25">
      <c r="A520" s="510"/>
      <c r="B520" s="559">
        <v>42430</v>
      </c>
      <c r="C520" s="510">
        <v>500</v>
      </c>
      <c r="D520" s="511">
        <v>7.94</v>
      </c>
      <c r="E520" s="512">
        <v>0</v>
      </c>
      <c r="F520" s="512">
        <f t="shared" si="153"/>
        <v>3970</v>
      </c>
      <c r="G520" s="509">
        <v>42489</v>
      </c>
      <c r="H520" s="527">
        <v>3000</v>
      </c>
      <c r="I520" s="511">
        <v>14.15</v>
      </c>
      <c r="J520" s="512">
        <v>0.93</v>
      </c>
      <c r="K520" s="512">
        <f t="shared" si="152"/>
        <v>42449.07</v>
      </c>
      <c r="L520" s="510"/>
      <c r="M520" s="512"/>
    </row>
    <row r="521" spans="1:13" x14ac:dyDescent="0.25">
      <c r="A521" s="510"/>
      <c r="B521" s="559">
        <v>42431</v>
      </c>
      <c r="C521" s="510">
        <v>1000</v>
      </c>
      <c r="D521" s="511">
        <v>8.3699999999999992</v>
      </c>
      <c r="E521" s="512">
        <v>0</v>
      </c>
      <c r="F521" s="512">
        <f t="shared" si="153"/>
        <v>8370</v>
      </c>
      <c r="G521" s="509">
        <v>42492</v>
      </c>
      <c r="H521" s="527">
        <v>1000</v>
      </c>
      <c r="I521" s="511">
        <v>13.48</v>
      </c>
      <c r="J521" s="512">
        <v>0.28999999999999998</v>
      </c>
      <c r="K521" s="512">
        <f t="shared" si="152"/>
        <v>13479.71</v>
      </c>
      <c r="L521" s="510"/>
      <c r="M521" s="512"/>
    </row>
    <row r="522" spans="1:13" x14ac:dyDescent="0.25">
      <c r="A522" s="510"/>
      <c r="B522" s="559">
        <v>42432</v>
      </c>
      <c r="C522" s="510">
        <v>600</v>
      </c>
      <c r="D522" s="511">
        <v>9.3699999999999992</v>
      </c>
      <c r="E522" s="512">
        <v>0</v>
      </c>
      <c r="F522" s="512">
        <f t="shared" si="153"/>
        <v>5621.9999999999991</v>
      </c>
      <c r="G522" s="509">
        <v>42492</v>
      </c>
      <c r="H522" s="527">
        <v>1000</v>
      </c>
      <c r="I522" s="511">
        <v>13.61</v>
      </c>
      <c r="J522" s="512">
        <v>0.3</v>
      </c>
      <c r="K522" s="512">
        <f t="shared" si="152"/>
        <v>13609.7</v>
      </c>
      <c r="L522" s="510"/>
      <c r="M522" s="512"/>
    </row>
    <row r="523" spans="1:13" x14ac:dyDescent="0.25">
      <c r="A523" s="510"/>
      <c r="B523" s="559">
        <v>42432</v>
      </c>
      <c r="C523" s="510">
        <v>600</v>
      </c>
      <c r="D523" s="511">
        <v>8.8800000000000008</v>
      </c>
      <c r="E523" s="512">
        <v>0</v>
      </c>
      <c r="F523" s="512">
        <f t="shared" si="153"/>
        <v>5328.0000000000009</v>
      </c>
      <c r="G523" s="509">
        <v>42493</v>
      </c>
      <c r="H523" s="527">
        <v>322</v>
      </c>
      <c r="I523" s="511">
        <v>13.28</v>
      </c>
      <c r="J523" s="512">
        <v>0.09</v>
      </c>
      <c r="K523" s="512">
        <f t="shared" si="152"/>
        <v>4276.07</v>
      </c>
      <c r="L523" s="510"/>
      <c r="M523" s="512"/>
    </row>
    <row r="524" spans="1:13" x14ac:dyDescent="0.25">
      <c r="A524" s="510"/>
      <c r="B524" s="559">
        <v>42433</v>
      </c>
      <c r="C524" s="510">
        <v>600</v>
      </c>
      <c r="D524" s="511">
        <v>10.42</v>
      </c>
      <c r="E524" s="512">
        <v>0</v>
      </c>
      <c r="F524" s="512">
        <f t="shared" si="153"/>
        <v>6252</v>
      </c>
      <c r="G524" s="509">
        <v>42495</v>
      </c>
      <c r="H524" s="527">
        <v>1000</v>
      </c>
      <c r="I524" s="511">
        <v>12.05</v>
      </c>
      <c r="J524" s="512">
        <v>0.26</v>
      </c>
      <c r="K524" s="512">
        <f t="shared" si="152"/>
        <v>12049.74</v>
      </c>
      <c r="L524" s="510"/>
      <c r="M524" s="512"/>
    </row>
    <row r="525" spans="1:13" x14ac:dyDescent="0.25">
      <c r="A525" s="510"/>
      <c r="B525" s="559">
        <v>42440</v>
      </c>
      <c r="C525" s="510">
        <v>400</v>
      </c>
      <c r="D525" s="511">
        <v>11.12</v>
      </c>
      <c r="E525" s="512">
        <v>0</v>
      </c>
      <c r="F525" s="512">
        <f t="shared" si="153"/>
        <v>4448</v>
      </c>
      <c r="G525" s="509">
        <v>42495</v>
      </c>
      <c r="H525" s="527">
        <v>2000</v>
      </c>
      <c r="I525" s="511">
        <v>12.63</v>
      </c>
      <c r="J525" s="512">
        <v>0.55000000000000004</v>
      </c>
      <c r="K525" s="512">
        <f t="shared" si="152"/>
        <v>25259.45</v>
      </c>
      <c r="L525" s="510"/>
      <c r="M525" s="512"/>
    </row>
    <row r="526" spans="1:13" x14ac:dyDescent="0.25">
      <c r="A526" s="510"/>
      <c r="B526" s="559">
        <v>42446</v>
      </c>
      <c r="C526" s="510">
        <v>1500</v>
      </c>
      <c r="D526" s="511">
        <v>11.445</v>
      </c>
      <c r="E526" s="512">
        <v>0</v>
      </c>
      <c r="F526" s="512">
        <f t="shared" si="153"/>
        <v>17167.5</v>
      </c>
      <c r="G526" s="509">
        <v>42500</v>
      </c>
      <c r="H526" s="527">
        <v>1000</v>
      </c>
      <c r="I526" s="511">
        <v>11.66</v>
      </c>
      <c r="J526" s="512">
        <v>5.25</v>
      </c>
      <c r="K526" s="512">
        <f t="shared" si="152"/>
        <v>11654.75</v>
      </c>
      <c r="L526" s="510"/>
      <c r="M526" s="512"/>
    </row>
    <row r="527" spans="1:13" x14ac:dyDescent="0.25">
      <c r="A527" s="510"/>
      <c r="B527" s="622">
        <v>42447</v>
      </c>
      <c r="C527" s="510">
        <v>1500</v>
      </c>
      <c r="D527" s="511">
        <v>11.42</v>
      </c>
      <c r="E527" s="512">
        <v>0</v>
      </c>
      <c r="F527" s="512">
        <f t="shared" si="153"/>
        <v>17130</v>
      </c>
      <c r="G527" s="509">
        <v>42502</v>
      </c>
      <c r="H527" s="527">
        <v>1500</v>
      </c>
      <c r="I527" s="511">
        <v>12.36</v>
      </c>
      <c r="J527" s="512">
        <v>0.4</v>
      </c>
      <c r="K527" s="512">
        <f t="shared" si="152"/>
        <v>18539.599999999999</v>
      </c>
      <c r="L527" s="510"/>
      <c r="M527" s="512"/>
    </row>
    <row r="528" spans="1:13" x14ac:dyDescent="0.25">
      <c r="A528" s="510"/>
      <c r="B528" s="627"/>
      <c r="C528" s="510">
        <v>500</v>
      </c>
      <c r="D528" s="511">
        <v>11.42</v>
      </c>
      <c r="E528" s="512">
        <v>0</v>
      </c>
      <c r="F528" s="512">
        <f t="shared" si="153"/>
        <v>5710</v>
      </c>
      <c r="G528" s="509">
        <v>42503</v>
      </c>
      <c r="H528" s="527">
        <v>500</v>
      </c>
      <c r="I528" s="511">
        <v>12.49</v>
      </c>
      <c r="J528" s="512">
        <v>0.14000000000000001</v>
      </c>
      <c r="K528" s="512">
        <f t="shared" si="152"/>
        <v>6244.86</v>
      </c>
      <c r="L528" s="510"/>
      <c r="M528" s="512"/>
    </row>
    <row r="529" spans="1:13" x14ac:dyDescent="0.25">
      <c r="A529" s="510"/>
      <c r="B529" s="559">
        <v>42447</v>
      </c>
      <c r="C529" s="510">
        <v>650</v>
      </c>
      <c r="D529" s="511">
        <v>11.545</v>
      </c>
      <c r="E529" s="512">
        <v>0.75</v>
      </c>
      <c r="F529" s="512">
        <f t="shared" si="153"/>
        <v>7505</v>
      </c>
      <c r="G529" s="509">
        <v>42506</v>
      </c>
      <c r="H529" s="527">
        <v>300</v>
      </c>
      <c r="I529" s="511">
        <v>12.85</v>
      </c>
      <c r="J529" s="512">
        <v>0.08</v>
      </c>
      <c r="K529" s="512">
        <f t="shared" si="152"/>
        <v>3854.92</v>
      </c>
      <c r="L529" s="510"/>
      <c r="M529" s="512"/>
    </row>
    <row r="530" spans="1:13" x14ac:dyDescent="0.25">
      <c r="A530" s="510"/>
      <c r="B530" s="559">
        <v>42450</v>
      </c>
      <c r="C530" s="510">
        <v>1350</v>
      </c>
      <c r="D530" s="511">
        <v>11.42</v>
      </c>
      <c r="E530" s="512">
        <v>0</v>
      </c>
      <c r="F530" s="512">
        <f t="shared" si="153"/>
        <v>15417</v>
      </c>
      <c r="G530" s="509">
        <v>42513</v>
      </c>
      <c r="H530" s="527">
        <v>500</v>
      </c>
      <c r="I530" s="511">
        <v>13.05</v>
      </c>
      <c r="J530" s="512">
        <v>0.14000000000000001</v>
      </c>
      <c r="K530" s="512">
        <f t="shared" si="152"/>
        <v>6524.86</v>
      </c>
      <c r="L530" s="510"/>
      <c r="M530" s="512"/>
    </row>
    <row r="531" spans="1:13" x14ac:dyDescent="0.25">
      <c r="A531" s="510"/>
      <c r="B531" s="559">
        <v>42451</v>
      </c>
      <c r="C531" s="510">
        <v>1000</v>
      </c>
      <c r="D531" s="511">
        <v>11.38</v>
      </c>
      <c r="E531" s="512">
        <v>0</v>
      </c>
      <c r="F531" s="512">
        <f t="shared" si="153"/>
        <v>11380</v>
      </c>
      <c r="G531" s="509">
        <v>42515</v>
      </c>
      <c r="H531" s="527">
        <v>500</v>
      </c>
      <c r="I531" s="511">
        <v>13.59</v>
      </c>
      <c r="J531" s="512">
        <v>0.15</v>
      </c>
      <c r="K531" s="512">
        <f t="shared" si="152"/>
        <v>6794.85</v>
      </c>
      <c r="L531" s="510"/>
      <c r="M531" s="512"/>
    </row>
    <row r="532" spans="1:13" x14ac:dyDescent="0.25">
      <c r="A532" s="510"/>
      <c r="B532" s="622">
        <v>42451</v>
      </c>
      <c r="C532" s="510">
        <v>50</v>
      </c>
      <c r="D532" s="511">
        <v>11.22</v>
      </c>
      <c r="E532" s="512">
        <v>0</v>
      </c>
      <c r="F532" s="512">
        <f t="shared" si="153"/>
        <v>561</v>
      </c>
      <c r="G532" s="509">
        <v>42515</v>
      </c>
      <c r="H532" s="527">
        <v>500</v>
      </c>
      <c r="I532" s="511">
        <v>13.57</v>
      </c>
      <c r="J532" s="512">
        <v>0.15</v>
      </c>
      <c r="K532" s="512">
        <f t="shared" si="152"/>
        <v>6784.85</v>
      </c>
      <c r="L532" s="510"/>
      <c r="M532" s="512"/>
    </row>
    <row r="533" spans="1:13" x14ac:dyDescent="0.25">
      <c r="A533" s="510"/>
      <c r="B533" s="622"/>
      <c r="C533" s="510">
        <v>350</v>
      </c>
      <c r="D533" s="511">
        <v>11.22</v>
      </c>
      <c r="E533" s="512">
        <v>0</v>
      </c>
      <c r="F533" s="512">
        <f t="shared" si="153"/>
        <v>3927</v>
      </c>
      <c r="G533" s="509">
        <v>42517</v>
      </c>
      <c r="H533" s="527">
        <v>500</v>
      </c>
      <c r="I533" s="511">
        <v>12.87</v>
      </c>
      <c r="J533" s="512">
        <v>0.14000000000000001</v>
      </c>
      <c r="K533" s="512">
        <f t="shared" si="152"/>
        <v>6434.86</v>
      </c>
      <c r="L533" s="510"/>
      <c r="M533" s="512"/>
    </row>
    <row r="534" spans="1:13" ht="45" x14ac:dyDescent="0.25">
      <c r="A534" s="510"/>
      <c r="B534" s="626" t="s">
        <v>193</v>
      </c>
      <c r="C534" s="510">
        <v>650</v>
      </c>
      <c r="D534" s="511">
        <v>11.22</v>
      </c>
      <c r="E534" s="512">
        <v>0</v>
      </c>
      <c r="F534" s="512">
        <f t="shared" si="153"/>
        <v>7293</v>
      </c>
      <c r="G534" s="509">
        <v>42524</v>
      </c>
      <c r="H534" s="527">
        <v>400</v>
      </c>
      <c r="I534" s="511">
        <v>13.38</v>
      </c>
      <c r="J534" s="512">
        <v>0.12</v>
      </c>
      <c r="K534" s="512">
        <f t="shared" si="152"/>
        <v>5351.88</v>
      </c>
      <c r="L534" s="510"/>
      <c r="M534" s="512"/>
    </row>
    <row r="535" spans="1:13" x14ac:dyDescent="0.25">
      <c r="A535" s="510"/>
      <c r="B535" s="626"/>
      <c r="C535" s="510">
        <v>500</v>
      </c>
      <c r="D535" s="511">
        <v>11.01</v>
      </c>
      <c r="E535" s="512">
        <v>0</v>
      </c>
      <c r="F535" s="512">
        <f t="shared" si="153"/>
        <v>5505</v>
      </c>
      <c r="G535" s="509">
        <v>42527</v>
      </c>
      <c r="H535" s="527">
        <v>1000</v>
      </c>
      <c r="I535" s="511">
        <v>13.82</v>
      </c>
      <c r="J535" s="512">
        <v>0.3</v>
      </c>
      <c r="K535" s="512">
        <f t="shared" si="152"/>
        <v>13819.7</v>
      </c>
      <c r="L535" s="510"/>
      <c r="M535" s="512"/>
    </row>
    <row r="536" spans="1:13" x14ac:dyDescent="0.25">
      <c r="A536" s="510"/>
      <c r="B536" s="626"/>
      <c r="C536" s="510">
        <v>500</v>
      </c>
      <c r="D536" s="511">
        <v>10.75</v>
      </c>
      <c r="E536" s="512">
        <v>0</v>
      </c>
      <c r="F536" s="512">
        <f t="shared" si="153"/>
        <v>5375</v>
      </c>
      <c r="G536" s="509">
        <v>42527</v>
      </c>
      <c r="H536" s="527">
        <v>500</v>
      </c>
      <c r="I536" s="511">
        <v>13.97</v>
      </c>
      <c r="J536" s="512">
        <v>1.1499999999999999</v>
      </c>
      <c r="K536" s="512">
        <f t="shared" si="152"/>
        <v>6983.85</v>
      </c>
      <c r="L536" s="510"/>
      <c r="M536" s="512"/>
    </row>
    <row r="537" spans="1:13" x14ac:dyDescent="0.25">
      <c r="A537" s="510"/>
      <c r="B537" s="626"/>
      <c r="C537" s="510">
        <v>1000</v>
      </c>
      <c r="D537" s="511">
        <v>10.4</v>
      </c>
      <c r="E537" s="512">
        <v>0</v>
      </c>
      <c r="F537" s="512">
        <f t="shared" si="153"/>
        <v>10400</v>
      </c>
      <c r="G537" s="509">
        <v>42528</v>
      </c>
      <c r="H537" s="527">
        <v>500</v>
      </c>
      <c r="I537" s="511">
        <v>14.65</v>
      </c>
      <c r="J537" s="512">
        <v>0.16</v>
      </c>
      <c r="K537" s="512">
        <f t="shared" si="152"/>
        <v>7324.84</v>
      </c>
      <c r="L537" s="510"/>
      <c r="M537" s="512"/>
    </row>
    <row r="538" spans="1:13" x14ac:dyDescent="0.25">
      <c r="A538" s="510"/>
      <c r="B538" s="626"/>
      <c r="C538" s="510">
        <v>1000</v>
      </c>
      <c r="D538" s="511">
        <v>10.185</v>
      </c>
      <c r="E538" s="512">
        <v>0</v>
      </c>
      <c r="F538" s="512">
        <f t="shared" si="153"/>
        <v>10185</v>
      </c>
      <c r="G538" s="509">
        <v>42536</v>
      </c>
      <c r="H538" s="527">
        <v>400</v>
      </c>
      <c r="I538" s="511">
        <v>13.43</v>
      </c>
      <c r="J538" s="512">
        <v>0.12</v>
      </c>
      <c r="K538" s="512">
        <f t="shared" si="152"/>
        <v>5371.88</v>
      </c>
      <c r="L538" s="510"/>
      <c r="M538" s="512"/>
    </row>
    <row r="539" spans="1:13" x14ac:dyDescent="0.25">
      <c r="A539" s="510"/>
      <c r="B539" s="559">
        <v>42461</v>
      </c>
      <c r="C539" s="510">
        <v>2000</v>
      </c>
      <c r="D539" s="511">
        <v>10.43</v>
      </c>
      <c r="E539" s="512">
        <v>0</v>
      </c>
      <c r="F539" s="512">
        <f t="shared" si="153"/>
        <v>20860</v>
      </c>
      <c r="G539" s="509">
        <v>42537</v>
      </c>
      <c r="H539" s="527">
        <v>400</v>
      </c>
      <c r="I539" s="511">
        <v>12.69</v>
      </c>
      <c r="J539" s="512">
        <v>0.11</v>
      </c>
      <c r="K539" s="512">
        <f t="shared" si="152"/>
        <v>5075.8900000000003</v>
      </c>
      <c r="L539" s="510"/>
      <c r="M539" s="512"/>
    </row>
    <row r="540" spans="1:13" x14ac:dyDescent="0.25">
      <c r="A540" s="510"/>
      <c r="B540" s="559">
        <v>42461</v>
      </c>
      <c r="C540" s="510">
        <v>2000</v>
      </c>
      <c r="D540" s="511">
        <v>10.42</v>
      </c>
      <c r="E540" s="512">
        <v>0</v>
      </c>
      <c r="F540" s="512">
        <f t="shared" si="153"/>
        <v>20840</v>
      </c>
      <c r="G540" s="509">
        <v>42538</v>
      </c>
      <c r="H540" s="527">
        <v>500</v>
      </c>
      <c r="I540" s="511">
        <v>13.34</v>
      </c>
      <c r="J540" s="512">
        <v>0.15</v>
      </c>
      <c r="K540" s="512">
        <f t="shared" si="152"/>
        <v>6669.85</v>
      </c>
      <c r="L540" s="510"/>
      <c r="M540" s="512"/>
    </row>
    <row r="541" spans="1:13" ht="45" x14ac:dyDescent="0.25">
      <c r="A541" s="510"/>
      <c r="B541" s="559">
        <v>42465</v>
      </c>
      <c r="C541" s="510">
        <v>100</v>
      </c>
      <c r="D541" s="511">
        <v>10.4</v>
      </c>
      <c r="E541" s="512">
        <v>0</v>
      </c>
      <c r="F541" s="512">
        <f t="shared" si="153"/>
        <v>1040</v>
      </c>
      <c r="G541" s="628" t="s">
        <v>220</v>
      </c>
      <c r="H541" s="527">
        <v>500</v>
      </c>
      <c r="I541" s="511">
        <v>13.91</v>
      </c>
      <c r="J541" s="512">
        <v>0.15</v>
      </c>
      <c r="K541" s="512">
        <f t="shared" si="152"/>
        <v>6954.85</v>
      </c>
      <c r="L541" s="510"/>
      <c r="M541" s="512"/>
    </row>
    <row r="542" spans="1:13" x14ac:dyDescent="0.25">
      <c r="A542" s="510"/>
      <c r="B542" s="559">
        <v>42471</v>
      </c>
      <c r="C542" s="510">
        <v>500</v>
      </c>
      <c r="D542" s="511">
        <v>11.77</v>
      </c>
      <c r="E542" s="512">
        <v>0</v>
      </c>
      <c r="F542" s="512">
        <f t="shared" si="153"/>
        <v>5885</v>
      </c>
      <c r="G542" s="628"/>
      <c r="H542" s="527">
        <v>600</v>
      </c>
      <c r="I542" s="511">
        <v>14.36</v>
      </c>
      <c r="J542" s="512">
        <v>0.19</v>
      </c>
      <c r="K542" s="512">
        <f t="shared" si="152"/>
        <v>8615.81</v>
      </c>
      <c r="L542" s="510"/>
      <c r="M542" s="512"/>
    </row>
    <row r="543" spans="1:13" x14ac:dyDescent="0.25">
      <c r="A543" s="510"/>
      <c r="B543" s="559">
        <v>42471</v>
      </c>
      <c r="C543" s="510">
        <v>500</v>
      </c>
      <c r="D543" s="511">
        <v>11.55</v>
      </c>
      <c r="E543" s="512">
        <v>0</v>
      </c>
      <c r="F543" s="512">
        <f t="shared" si="153"/>
        <v>5775</v>
      </c>
      <c r="G543" s="628"/>
      <c r="H543" s="527">
        <v>500</v>
      </c>
      <c r="I543" s="511">
        <v>14.65</v>
      </c>
      <c r="J543" s="512">
        <v>0.16</v>
      </c>
      <c r="K543" s="512">
        <f t="shared" si="152"/>
        <v>7324.84</v>
      </c>
      <c r="L543" s="510"/>
      <c r="M543" s="512"/>
    </row>
    <row r="544" spans="1:13" x14ac:dyDescent="0.25">
      <c r="A544" s="510"/>
      <c r="B544" s="559">
        <v>42472</v>
      </c>
      <c r="C544" s="510">
        <v>610</v>
      </c>
      <c r="D544" s="511">
        <v>12.95</v>
      </c>
      <c r="E544" s="512">
        <v>0</v>
      </c>
      <c r="F544" s="512">
        <f t="shared" si="153"/>
        <v>7899.5</v>
      </c>
      <c r="G544" s="509">
        <v>42542</v>
      </c>
      <c r="H544" s="527">
        <v>500</v>
      </c>
      <c r="I544" s="511">
        <v>14.95</v>
      </c>
      <c r="J544" s="512">
        <v>0.16</v>
      </c>
      <c r="K544" s="512">
        <f t="shared" si="152"/>
        <v>7474.84</v>
      </c>
      <c r="L544" s="510"/>
      <c r="M544" s="512"/>
    </row>
    <row r="545" spans="1:13" x14ac:dyDescent="0.25">
      <c r="A545" s="510"/>
      <c r="B545" s="559">
        <v>42473</v>
      </c>
      <c r="C545" s="510">
        <v>970</v>
      </c>
      <c r="D545" s="511">
        <v>12.76</v>
      </c>
      <c r="E545" s="512">
        <v>4.0999999999999996</v>
      </c>
      <c r="F545" s="512">
        <f t="shared" si="153"/>
        <v>12381.3</v>
      </c>
      <c r="G545" s="509">
        <v>42542</v>
      </c>
      <c r="H545" s="527">
        <v>378</v>
      </c>
      <c r="I545" s="511">
        <v>15.2</v>
      </c>
      <c r="J545" s="512">
        <v>0.13</v>
      </c>
      <c r="K545" s="512">
        <f t="shared" si="152"/>
        <v>5745.4699999999993</v>
      </c>
      <c r="L545" s="510"/>
      <c r="M545" s="512"/>
    </row>
    <row r="546" spans="1:13" x14ac:dyDescent="0.25">
      <c r="A546" s="510"/>
      <c r="B546" s="559">
        <v>42474</v>
      </c>
      <c r="C546" s="510">
        <v>420</v>
      </c>
      <c r="D546" s="511">
        <v>12.755000000000001</v>
      </c>
      <c r="E546" s="512">
        <v>0.34</v>
      </c>
      <c r="F546" s="512">
        <f t="shared" si="153"/>
        <v>5357.4400000000005</v>
      </c>
      <c r="G546" s="510"/>
      <c r="H546" s="527"/>
      <c r="I546" s="511"/>
      <c r="J546" s="512"/>
      <c r="K546" s="512"/>
      <c r="L546" s="510"/>
      <c r="M546" s="512"/>
    </row>
    <row r="547" spans="1:13" x14ac:dyDescent="0.25">
      <c r="A547" s="510"/>
      <c r="B547" s="559">
        <v>42475</v>
      </c>
      <c r="C547" s="510">
        <v>500</v>
      </c>
      <c r="D547" s="511">
        <v>13.02</v>
      </c>
      <c r="E547" s="512">
        <v>-1.75</v>
      </c>
      <c r="F547" s="512">
        <f t="shared" si="153"/>
        <v>6508.25</v>
      </c>
      <c r="G547" s="510"/>
      <c r="H547" s="527"/>
      <c r="I547" s="511"/>
      <c r="J547" s="512"/>
      <c r="K547" s="512"/>
      <c r="L547" s="510"/>
      <c r="M547" s="512"/>
    </row>
    <row r="548" spans="1:13" x14ac:dyDescent="0.25">
      <c r="A548" s="510"/>
      <c r="B548" s="559">
        <v>42485</v>
      </c>
      <c r="C548" s="510">
        <v>500</v>
      </c>
      <c r="D548" s="511">
        <v>13.95</v>
      </c>
      <c r="E548" s="512">
        <v>0</v>
      </c>
      <c r="F548" s="512">
        <f t="shared" si="153"/>
        <v>6975</v>
      </c>
      <c r="G548" s="510"/>
      <c r="H548" s="527"/>
      <c r="I548" s="511"/>
      <c r="J548" s="512"/>
      <c r="K548" s="512"/>
      <c r="L548" s="510"/>
      <c r="M548" s="512"/>
    </row>
    <row r="549" spans="1:13" x14ac:dyDescent="0.25">
      <c r="A549" s="510"/>
      <c r="B549" s="559">
        <v>42487</v>
      </c>
      <c r="C549" s="510">
        <v>600</v>
      </c>
      <c r="D549" s="511">
        <v>14.63</v>
      </c>
      <c r="E549" s="512">
        <v>0</v>
      </c>
      <c r="F549" s="512">
        <f t="shared" si="153"/>
        <v>8778</v>
      </c>
      <c r="G549" s="510"/>
      <c r="H549" s="527"/>
      <c r="I549" s="511"/>
      <c r="J549" s="512"/>
      <c r="K549" s="512"/>
      <c r="L549" s="510"/>
      <c r="M549" s="512"/>
    </row>
    <row r="550" spans="1:13" x14ac:dyDescent="0.25">
      <c r="A550" s="510"/>
      <c r="B550" s="559">
        <v>42488</v>
      </c>
      <c r="C550" s="510">
        <v>500</v>
      </c>
      <c r="D550" s="511">
        <v>14.52</v>
      </c>
      <c r="E550" s="512">
        <v>0</v>
      </c>
      <c r="F550" s="512">
        <f t="shared" si="153"/>
        <v>7260</v>
      </c>
      <c r="G550" s="510"/>
      <c r="H550" s="527"/>
      <c r="I550" s="511"/>
      <c r="J550" s="512"/>
      <c r="K550" s="512"/>
      <c r="L550" s="510"/>
      <c r="M550" s="512"/>
    </row>
    <row r="551" spans="1:13" ht="30" x14ac:dyDescent="0.25">
      <c r="A551" s="629" t="s">
        <v>198</v>
      </c>
      <c r="B551" s="559">
        <v>42489</v>
      </c>
      <c r="C551" s="510">
        <v>500</v>
      </c>
      <c r="D551" s="511">
        <v>14.35</v>
      </c>
      <c r="E551" s="512">
        <v>0</v>
      </c>
      <c r="F551" s="512">
        <f t="shared" si="153"/>
        <v>7175</v>
      </c>
      <c r="G551" s="510"/>
      <c r="H551" s="527"/>
      <c r="I551" s="511"/>
      <c r="J551" s="512"/>
      <c r="K551" s="512"/>
      <c r="L551" s="510"/>
      <c r="M551" s="512"/>
    </row>
    <row r="552" spans="1:13" x14ac:dyDescent="0.25">
      <c r="A552" s="629"/>
      <c r="B552" s="559">
        <v>42489</v>
      </c>
      <c r="C552" s="510">
        <v>500</v>
      </c>
      <c r="D552" s="511">
        <v>14.15</v>
      </c>
      <c r="E552" s="512">
        <v>0</v>
      </c>
      <c r="F552" s="512">
        <f t="shared" si="153"/>
        <v>7075</v>
      </c>
      <c r="G552" s="510"/>
      <c r="H552" s="527"/>
      <c r="I552" s="511"/>
      <c r="J552" s="512"/>
      <c r="K552" s="512"/>
      <c r="L552" s="510"/>
      <c r="M552" s="512"/>
    </row>
    <row r="553" spans="1:13" x14ac:dyDescent="0.25">
      <c r="A553" s="629"/>
      <c r="B553" s="559">
        <v>42489</v>
      </c>
      <c r="C553" s="510">
        <v>1000</v>
      </c>
      <c r="D553" s="511">
        <v>13.92</v>
      </c>
      <c r="E553" s="512">
        <v>0</v>
      </c>
      <c r="F553" s="512">
        <f t="shared" si="153"/>
        <v>13920</v>
      </c>
      <c r="G553" s="510"/>
      <c r="H553" s="527"/>
      <c r="I553" s="511"/>
      <c r="J553" s="512"/>
      <c r="K553" s="512"/>
      <c r="L553" s="510"/>
      <c r="M553" s="512"/>
    </row>
    <row r="554" spans="1:13" x14ac:dyDescent="0.25">
      <c r="A554" s="629"/>
      <c r="B554" s="559">
        <v>42489</v>
      </c>
      <c r="C554" s="510">
        <v>1000</v>
      </c>
      <c r="D554" s="511">
        <v>13.8</v>
      </c>
      <c r="E554" s="512">
        <v>0</v>
      </c>
      <c r="F554" s="512">
        <f t="shared" si="153"/>
        <v>13800</v>
      </c>
      <c r="G554" s="510"/>
      <c r="H554" s="527"/>
      <c r="I554" s="511"/>
      <c r="J554" s="512"/>
      <c r="K554" s="512"/>
      <c r="L554" s="510"/>
      <c r="M554" s="512"/>
    </row>
    <row r="555" spans="1:13" x14ac:dyDescent="0.25">
      <c r="A555" s="510"/>
      <c r="B555" s="559">
        <v>42492</v>
      </c>
      <c r="C555" s="510">
        <v>1500</v>
      </c>
      <c r="D555" s="511">
        <v>13.25</v>
      </c>
      <c r="E555" s="512">
        <v>0</v>
      </c>
      <c r="F555" s="512">
        <f t="shared" si="153"/>
        <v>19875</v>
      </c>
      <c r="G555" s="510"/>
      <c r="H555" s="527"/>
      <c r="I555" s="511"/>
      <c r="J555" s="512"/>
      <c r="K555" s="512"/>
      <c r="L555" s="510"/>
      <c r="M555" s="512"/>
    </row>
    <row r="556" spans="1:13" x14ac:dyDescent="0.25">
      <c r="A556" s="510"/>
      <c r="B556" s="559">
        <v>42492</v>
      </c>
      <c r="C556" s="510">
        <v>500</v>
      </c>
      <c r="D556" s="511">
        <v>13.6</v>
      </c>
      <c r="E556" s="512">
        <v>0</v>
      </c>
      <c r="F556" s="512">
        <f t="shared" si="153"/>
        <v>6800</v>
      </c>
      <c r="G556" s="510"/>
      <c r="H556" s="527"/>
      <c r="I556" s="511"/>
      <c r="J556" s="512"/>
      <c r="K556" s="512"/>
      <c r="L556" s="510"/>
      <c r="M556" s="512"/>
    </row>
    <row r="557" spans="1:13" x14ac:dyDescent="0.25">
      <c r="A557" s="510"/>
      <c r="B557" s="559">
        <v>42493</v>
      </c>
      <c r="C557" s="510">
        <v>322</v>
      </c>
      <c r="D557" s="511">
        <v>12.85</v>
      </c>
      <c r="E557" s="512">
        <v>0</v>
      </c>
      <c r="F557" s="512">
        <f t="shared" si="153"/>
        <v>4137.7</v>
      </c>
      <c r="G557" s="510"/>
      <c r="H557" s="527"/>
      <c r="I557" s="511"/>
      <c r="J557" s="512"/>
      <c r="K557" s="512"/>
      <c r="L557" s="510"/>
      <c r="M557" s="512"/>
    </row>
    <row r="558" spans="1:13" ht="30" x14ac:dyDescent="0.25">
      <c r="A558" s="613" t="s">
        <v>202</v>
      </c>
      <c r="B558" s="559">
        <v>42494</v>
      </c>
      <c r="C558" s="510">
        <v>1000</v>
      </c>
      <c r="D558" s="511">
        <v>12.25</v>
      </c>
      <c r="E558" s="512">
        <v>0</v>
      </c>
      <c r="F558" s="512">
        <f t="shared" si="153"/>
        <v>12250</v>
      </c>
      <c r="G558" s="510"/>
      <c r="H558" s="527"/>
      <c r="I558" s="511"/>
      <c r="J558" s="512"/>
      <c r="K558" s="512"/>
      <c r="L558" s="510"/>
      <c r="M558" s="512"/>
    </row>
    <row r="559" spans="1:13" x14ac:dyDescent="0.25">
      <c r="A559" s="613"/>
      <c r="B559" s="559">
        <v>42494</v>
      </c>
      <c r="C559" s="510">
        <v>500</v>
      </c>
      <c r="D559" s="511">
        <v>12.53</v>
      </c>
      <c r="E559" s="512">
        <v>0</v>
      </c>
      <c r="F559" s="512">
        <f t="shared" si="153"/>
        <v>6265</v>
      </c>
      <c r="G559" s="510"/>
      <c r="H559" s="527"/>
      <c r="I559" s="511"/>
      <c r="J559" s="512"/>
      <c r="K559" s="512"/>
      <c r="L559" s="510"/>
      <c r="M559" s="512"/>
    </row>
    <row r="560" spans="1:13" x14ac:dyDescent="0.25">
      <c r="A560" s="613"/>
      <c r="B560" s="559">
        <v>42494</v>
      </c>
      <c r="C560" s="510">
        <v>500</v>
      </c>
      <c r="D560" s="511">
        <v>12.65</v>
      </c>
      <c r="E560" s="512">
        <v>0</v>
      </c>
      <c r="F560" s="512">
        <f t="shared" si="153"/>
        <v>6325</v>
      </c>
      <c r="G560" s="510"/>
      <c r="H560" s="527"/>
      <c r="I560" s="511"/>
      <c r="J560" s="512"/>
      <c r="K560" s="512"/>
      <c r="L560" s="510"/>
      <c r="M560" s="512"/>
    </row>
    <row r="561" spans="1:13" x14ac:dyDescent="0.25">
      <c r="A561" s="510"/>
      <c r="B561" s="559">
        <v>42495</v>
      </c>
      <c r="C561" s="510">
        <v>1000</v>
      </c>
      <c r="D561" s="511">
        <v>11.95</v>
      </c>
      <c r="E561" s="512">
        <v>0</v>
      </c>
      <c r="F561" s="512">
        <f t="shared" si="153"/>
        <v>11950</v>
      </c>
      <c r="G561" s="510"/>
      <c r="H561" s="527"/>
      <c r="I561" s="511"/>
      <c r="J561" s="512"/>
      <c r="K561" s="512"/>
      <c r="L561" s="510"/>
      <c r="M561" s="512"/>
    </row>
    <row r="562" spans="1:13" x14ac:dyDescent="0.25">
      <c r="A562" s="510"/>
      <c r="B562" s="559">
        <v>42499</v>
      </c>
      <c r="C562" s="510">
        <v>500</v>
      </c>
      <c r="D562" s="511">
        <v>11.48</v>
      </c>
      <c r="E562" s="512">
        <v>0</v>
      </c>
      <c r="F562" s="512">
        <f t="shared" si="153"/>
        <v>5740</v>
      </c>
      <c r="G562" s="510"/>
      <c r="H562" s="527"/>
      <c r="I562" s="511"/>
      <c r="J562" s="512"/>
      <c r="K562" s="512"/>
      <c r="L562" s="510"/>
      <c r="M562" s="512"/>
    </row>
    <row r="563" spans="1:13" x14ac:dyDescent="0.25">
      <c r="A563" s="510"/>
      <c r="B563" s="559">
        <v>42499</v>
      </c>
      <c r="C563" s="510">
        <v>500</v>
      </c>
      <c r="D563" s="511">
        <v>11.32</v>
      </c>
      <c r="E563" s="512">
        <v>0</v>
      </c>
      <c r="F563" s="512">
        <f t="shared" si="153"/>
        <v>5660</v>
      </c>
      <c r="G563" s="510"/>
      <c r="H563" s="527"/>
      <c r="I563" s="511"/>
      <c r="J563" s="512"/>
      <c r="K563" s="512"/>
      <c r="L563" s="510"/>
      <c r="M563" s="512"/>
    </row>
    <row r="564" spans="1:13" ht="30" x14ac:dyDescent="0.25">
      <c r="A564" s="629" t="s">
        <v>205</v>
      </c>
      <c r="B564" s="559">
        <v>42502</v>
      </c>
      <c r="C564" s="510">
        <v>500</v>
      </c>
      <c r="D564" s="511">
        <v>12.38</v>
      </c>
      <c r="E564" s="512">
        <v>0</v>
      </c>
      <c r="F564" s="512">
        <f t="shared" si="153"/>
        <v>6190</v>
      </c>
      <c r="G564" s="510"/>
      <c r="H564" s="527"/>
      <c r="I564" s="511"/>
      <c r="J564" s="512"/>
      <c r="K564" s="512"/>
      <c r="L564" s="510"/>
      <c r="M564" s="512"/>
    </row>
    <row r="565" spans="1:13" x14ac:dyDescent="0.25">
      <c r="A565" s="629"/>
      <c r="B565" s="559">
        <v>42502</v>
      </c>
      <c r="C565" s="510">
        <v>500</v>
      </c>
      <c r="D565" s="511">
        <v>12.3</v>
      </c>
      <c r="E565" s="512">
        <v>0</v>
      </c>
      <c r="F565" s="512">
        <f t="shared" si="153"/>
        <v>6150</v>
      </c>
      <c r="G565" s="510"/>
      <c r="H565" s="527"/>
      <c r="I565" s="511"/>
      <c r="J565" s="512"/>
      <c r="K565" s="512"/>
      <c r="L565" s="510"/>
      <c r="M565" s="512"/>
    </row>
    <row r="566" spans="1:13" x14ac:dyDescent="0.25">
      <c r="A566" s="629"/>
      <c r="B566" s="559">
        <v>42502</v>
      </c>
      <c r="C566" s="510">
        <v>500</v>
      </c>
      <c r="D566" s="511">
        <v>12.23</v>
      </c>
      <c r="E566" s="512">
        <v>0</v>
      </c>
      <c r="F566" s="512">
        <f t="shared" si="153"/>
        <v>6115</v>
      </c>
      <c r="G566" s="510"/>
      <c r="H566" s="527"/>
      <c r="I566" s="511"/>
      <c r="J566" s="512"/>
      <c r="K566" s="512"/>
      <c r="L566" s="510"/>
      <c r="M566" s="512"/>
    </row>
    <row r="567" spans="1:13" x14ac:dyDescent="0.25">
      <c r="A567" s="510"/>
      <c r="B567" s="559">
        <v>42503</v>
      </c>
      <c r="C567" s="510">
        <v>500</v>
      </c>
      <c r="D567" s="511">
        <v>12.41</v>
      </c>
      <c r="E567" s="512">
        <v>0</v>
      </c>
      <c r="F567" s="512">
        <f t="shared" si="153"/>
        <v>6205</v>
      </c>
      <c r="G567" s="510"/>
      <c r="H567" s="527"/>
      <c r="I567" s="511"/>
      <c r="J567" s="512"/>
      <c r="K567" s="512"/>
      <c r="L567" s="510"/>
      <c r="M567" s="512"/>
    </row>
    <row r="568" spans="1:13" x14ac:dyDescent="0.25">
      <c r="A568" s="510"/>
      <c r="B568" s="559">
        <v>42506</v>
      </c>
      <c r="C568" s="510">
        <v>300</v>
      </c>
      <c r="D568" s="511">
        <v>12.8</v>
      </c>
      <c r="E568" s="512">
        <v>0</v>
      </c>
      <c r="F568" s="512">
        <f t="shared" si="153"/>
        <v>3840</v>
      </c>
      <c r="G568" s="510"/>
      <c r="H568" s="527"/>
      <c r="I568" s="511"/>
      <c r="J568" s="512"/>
      <c r="K568" s="512"/>
      <c r="L568" s="510"/>
      <c r="M568" s="512"/>
    </row>
    <row r="569" spans="1:13" x14ac:dyDescent="0.25">
      <c r="A569" s="510"/>
      <c r="B569" s="559">
        <v>42514</v>
      </c>
      <c r="C569" s="510">
        <v>500</v>
      </c>
      <c r="D569" s="511">
        <v>13.02</v>
      </c>
      <c r="E569" s="512">
        <v>-1.65</v>
      </c>
      <c r="F569" s="512">
        <f t="shared" ref="F569:F632" si="154">C569*D569+E569</f>
        <v>6508.35</v>
      </c>
      <c r="G569" s="510"/>
      <c r="H569" s="527"/>
      <c r="I569" s="511"/>
      <c r="J569" s="512"/>
      <c r="K569" s="512"/>
      <c r="L569" s="510"/>
      <c r="M569" s="512"/>
    </row>
    <row r="570" spans="1:13" x14ac:dyDescent="0.25">
      <c r="A570" s="510"/>
      <c r="B570" s="559">
        <v>42515</v>
      </c>
      <c r="C570" s="510">
        <v>500</v>
      </c>
      <c r="D570" s="511">
        <v>13.45</v>
      </c>
      <c r="E570" s="512">
        <v>1</v>
      </c>
      <c r="F570" s="512">
        <f t="shared" si="154"/>
        <v>6726</v>
      </c>
      <c r="G570" s="510"/>
      <c r="H570" s="527"/>
      <c r="I570" s="511"/>
      <c r="J570" s="512"/>
      <c r="K570" s="512"/>
      <c r="L570" s="510"/>
      <c r="M570" s="512"/>
    </row>
    <row r="571" spans="1:13" x14ac:dyDescent="0.25">
      <c r="A571" s="510"/>
      <c r="B571" s="559">
        <v>42516</v>
      </c>
      <c r="C571" s="510">
        <v>500</v>
      </c>
      <c r="D571" s="511">
        <v>13.28</v>
      </c>
      <c r="E571" s="512">
        <v>-1.04</v>
      </c>
      <c r="F571" s="512">
        <f t="shared" si="154"/>
        <v>6638.96</v>
      </c>
      <c r="G571" s="510"/>
      <c r="H571" s="527"/>
      <c r="I571" s="511"/>
      <c r="J571" s="512"/>
      <c r="K571" s="512"/>
      <c r="L571" s="510"/>
      <c r="M571" s="512"/>
    </row>
    <row r="572" spans="1:13" x14ac:dyDescent="0.25">
      <c r="A572" s="510"/>
      <c r="B572" s="559">
        <v>42517</v>
      </c>
      <c r="C572" s="510">
        <v>500</v>
      </c>
      <c r="D572" s="511">
        <v>12.79</v>
      </c>
      <c r="E572" s="512">
        <v>0</v>
      </c>
      <c r="F572" s="512">
        <f t="shared" si="154"/>
        <v>6395</v>
      </c>
      <c r="G572" s="510"/>
      <c r="H572" s="527"/>
      <c r="I572" s="511"/>
      <c r="J572" s="512"/>
      <c r="K572" s="512"/>
      <c r="L572" s="510"/>
      <c r="M572" s="512"/>
    </row>
    <row r="573" spans="1:13" x14ac:dyDescent="0.25">
      <c r="A573" s="510"/>
      <c r="B573" s="559">
        <v>42524</v>
      </c>
      <c r="C573" s="510">
        <v>400</v>
      </c>
      <c r="D573" s="511">
        <v>13.28</v>
      </c>
      <c r="E573" s="512">
        <v>0</v>
      </c>
      <c r="F573" s="512">
        <f t="shared" si="154"/>
        <v>5312</v>
      </c>
      <c r="G573" s="510"/>
      <c r="H573" s="527"/>
      <c r="I573" s="511"/>
      <c r="J573" s="512"/>
      <c r="K573" s="512"/>
      <c r="L573" s="510"/>
      <c r="M573" s="512"/>
    </row>
    <row r="574" spans="1:13" x14ac:dyDescent="0.25">
      <c r="A574" s="510"/>
      <c r="B574" s="559">
        <v>42529</v>
      </c>
      <c r="C574" s="510">
        <v>500</v>
      </c>
      <c r="D574" s="511">
        <v>14.59</v>
      </c>
      <c r="E574" s="512">
        <v>0</v>
      </c>
      <c r="F574" s="512">
        <f t="shared" si="154"/>
        <v>7295</v>
      </c>
      <c r="G574" s="510"/>
      <c r="H574" s="527"/>
      <c r="I574" s="511"/>
      <c r="J574" s="512"/>
      <c r="K574" s="512"/>
      <c r="L574" s="510"/>
      <c r="M574" s="512"/>
    </row>
    <row r="575" spans="1:13" x14ac:dyDescent="0.25">
      <c r="A575" s="510"/>
      <c r="B575" s="559">
        <v>42531</v>
      </c>
      <c r="C575" s="510">
        <v>800</v>
      </c>
      <c r="D575" s="511">
        <v>13.79</v>
      </c>
      <c r="E575" s="512">
        <v>0</v>
      </c>
      <c r="F575" s="512">
        <f t="shared" si="154"/>
        <v>11032</v>
      </c>
      <c r="G575" s="510"/>
      <c r="H575" s="527"/>
      <c r="I575" s="511"/>
      <c r="J575" s="512"/>
      <c r="K575" s="512"/>
      <c r="L575" s="510"/>
      <c r="M575" s="512"/>
    </row>
    <row r="576" spans="1:13" x14ac:dyDescent="0.25">
      <c r="A576" s="510"/>
      <c r="B576" s="559">
        <v>42531</v>
      </c>
      <c r="C576" s="510">
        <v>300</v>
      </c>
      <c r="D576" s="511">
        <v>13.4</v>
      </c>
      <c r="E576" s="512">
        <v>0</v>
      </c>
      <c r="F576" s="512">
        <f t="shared" si="154"/>
        <v>4020</v>
      </c>
      <c r="G576" s="510"/>
      <c r="H576" s="527"/>
      <c r="I576" s="511"/>
      <c r="J576" s="512"/>
      <c r="K576" s="512"/>
      <c r="L576" s="510"/>
      <c r="M576" s="512"/>
    </row>
    <row r="577" spans="1:13" x14ac:dyDescent="0.25">
      <c r="A577" s="510"/>
      <c r="B577" s="559">
        <v>42535</v>
      </c>
      <c r="C577" s="510">
        <v>400</v>
      </c>
      <c r="D577" s="511">
        <v>12.85</v>
      </c>
      <c r="E577" s="512">
        <v>0</v>
      </c>
      <c r="F577" s="512">
        <f t="shared" si="154"/>
        <v>5140</v>
      </c>
      <c r="G577" s="510"/>
      <c r="H577" s="527"/>
      <c r="I577" s="511"/>
      <c r="J577" s="512"/>
      <c r="K577" s="512"/>
      <c r="L577" s="510"/>
      <c r="M577" s="512"/>
    </row>
    <row r="578" spans="1:13" x14ac:dyDescent="0.25">
      <c r="A578" s="510"/>
      <c r="B578" s="559">
        <v>42537</v>
      </c>
      <c r="C578" s="510">
        <v>400</v>
      </c>
      <c r="D578" s="511">
        <v>12.43</v>
      </c>
      <c r="E578" s="512">
        <v>-0.04</v>
      </c>
      <c r="F578" s="512">
        <f t="shared" si="154"/>
        <v>4971.96</v>
      </c>
      <c r="G578" s="510"/>
      <c r="H578" s="527"/>
      <c r="I578" s="511"/>
      <c r="J578" s="512"/>
      <c r="K578" s="512"/>
      <c r="L578" s="510"/>
      <c r="M578" s="512"/>
    </row>
    <row r="579" spans="1:13" x14ac:dyDescent="0.25">
      <c r="A579" s="510"/>
      <c r="B579" s="559">
        <v>42538</v>
      </c>
      <c r="C579" s="510">
        <v>500</v>
      </c>
      <c r="D579" s="511">
        <v>13.14</v>
      </c>
      <c r="E579" s="512">
        <v>0</v>
      </c>
      <c r="F579" s="512">
        <f t="shared" si="154"/>
        <v>6570</v>
      </c>
      <c r="G579" s="510"/>
      <c r="H579" s="527"/>
      <c r="I579" s="511"/>
      <c r="J579" s="512"/>
      <c r="K579" s="512"/>
      <c r="L579" s="510"/>
      <c r="M579" s="512"/>
    </row>
    <row r="580" spans="1:13" x14ac:dyDescent="0.25">
      <c r="A580" s="510"/>
      <c r="B580" s="559">
        <v>42543</v>
      </c>
      <c r="C580" s="510">
        <v>500</v>
      </c>
      <c r="D580" s="511">
        <v>14.75</v>
      </c>
      <c r="E580" s="512">
        <v>0</v>
      </c>
      <c r="F580" s="512">
        <f t="shared" si="154"/>
        <v>7375</v>
      </c>
      <c r="G580" s="509">
        <v>42544</v>
      </c>
      <c r="H580" s="527">
        <v>500</v>
      </c>
      <c r="I580" s="511">
        <v>15.24</v>
      </c>
      <c r="J580" s="512">
        <v>0.17</v>
      </c>
      <c r="K580" s="512">
        <f>H580*I580-J580</f>
        <v>7619.83</v>
      </c>
      <c r="L580" s="510"/>
      <c r="M580" s="512"/>
    </row>
    <row r="581" spans="1:13" x14ac:dyDescent="0.25">
      <c r="A581" s="510"/>
      <c r="B581" s="559">
        <v>42545</v>
      </c>
      <c r="C581" s="510">
        <v>878</v>
      </c>
      <c r="D581" s="511">
        <v>14.41</v>
      </c>
      <c r="E581" s="512">
        <v>0</v>
      </c>
      <c r="F581" s="512">
        <f t="shared" si="154"/>
        <v>12651.98</v>
      </c>
      <c r="G581" s="510"/>
      <c r="H581" s="527"/>
      <c r="I581" s="511"/>
      <c r="J581" s="512"/>
      <c r="K581" s="512"/>
      <c r="L581" s="510"/>
      <c r="M581" s="512"/>
    </row>
    <row r="582" spans="1:13" x14ac:dyDescent="0.25">
      <c r="A582" s="510"/>
      <c r="B582" s="559">
        <v>42545</v>
      </c>
      <c r="C582" s="510">
        <v>335</v>
      </c>
      <c r="D582" s="511">
        <v>14.08</v>
      </c>
      <c r="E582" s="512">
        <v>0</v>
      </c>
      <c r="F582" s="512">
        <f t="shared" si="154"/>
        <v>4716.8</v>
      </c>
      <c r="G582" s="510"/>
      <c r="H582" s="527"/>
      <c r="I582" s="511"/>
      <c r="J582" s="512"/>
      <c r="K582" s="512"/>
      <c r="L582" s="510"/>
      <c r="M582" s="512"/>
    </row>
    <row r="583" spans="1:13" x14ac:dyDescent="0.25">
      <c r="A583" s="510"/>
      <c r="B583" s="559">
        <v>42548</v>
      </c>
      <c r="C583" s="510">
        <v>965</v>
      </c>
      <c r="D583" s="511">
        <v>13.81</v>
      </c>
      <c r="E583" s="512">
        <v>0</v>
      </c>
      <c r="F583" s="512">
        <f t="shared" si="154"/>
        <v>13326.65</v>
      </c>
      <c r="G583" s="510"/>
      <c r="H583" s="527"/>
      <c r="I583" s="511"/>
      <c r="J583" s="512"/>
      <c r="K583" s="512"/>
      <c r="L583" s="510"/>
      <c r="M583" s="512"/>
    </row>
    <row r="584" spans="1:13" x14ac:dyDescent="0.25">
      <c r="A584" s="510"/>
      <c r="B584" s="559">
        <v>42548</v>
      </c>
      <c r="C584" s="510">
        <v>300</v>
      </c>
      <c r="D584" s="511">
        <v>13.58</v>
      </c>
      <c r="E584" s="512">
        <v>0</v>
      </c>
      <c r="F584" s="512">
        <f t="shared" si="154"/>
        <v>4074</v>
      </c>
      <c r="G584" s="509">
        <v>42549</v>
      </c>
      <c r="H584" s="527">
        <v>1100</v>
      </c>
      <c r="I584" s="511">
        <v>14.68</v>
      </c>
      <c r="J584" s="512">
        <v>0.35</v>
      </c>
      <c r="K584" s="512">
        <f t="shared" ref="K584:K669" si="155">H584*I584-J584</f>
        <v>16147.65</v>
      </c>
      <c r="L584" s="510"/>
      <c r="M584" s="512"/>
    </row>
    <row r="585" spans="1:13" ht="45" x14ac:dyDescent="0.25">
      <c r="A585" s="510"/>
      <c r="B585" s="559">
        <v>42556</v>
      </c>
      <c r="C585" s="510">
        <v>2178</v>
      </c>
      <c r="D585" s="511">
        <v>15.08</v>
      </c>
      <c r="E585" s="512">
        <v>0</v>
      </c>
      <c r="F585" s="512">
        <f t="shared" si="154"/>
        <v>32844.239999999998</v>
      </c>
      <c r="G585" s="625" t="s">
        <v>229</v>
      </c>
      <c r="H585" s="527">
        <v>500</v>
      </c>
      <c r="I585" s="511">
        <v>15.48</v>
      </c>
      <c r="J585" s="512">
        <v>0.17</v>
      </c>
      <c r="K585" s="512">
        <f t="shared" si="155"/>
        <v>7739.83</v>
      </c>
      <c r="L585" s="510"/>
      <c r="M585" s="512"/>
    </row>
    <row r="586" spans="1:13" x14ac:dyDescent="0.25">
      <c r="A586" s="510"/>
      <c r="B586" s="559">
        <v>42556</v>
      </c>
      <c r="C586" s="510">
        <v>500</v>
      </c>
      <c r="D586" s="511">
        <v>14.62</v>
      </c>
      <c r="E586" s="512">
        <v>0</v>
      </c>
      <c r="F586" s="512">
        <f t="shared" si="154"/>
        <v>7310</v>
      </c>
      <c r="G586" s="625"/>
      <c r="H586" s="527">
        <v>378</v>
      </c>
      <c r="I586" s="511">
        <v>15.65</v>
      </c>
      <c r="J586" s="512">
        <v>0.13</v>
      </c>
      <c r="K586" s="512">
        <f t="shared" si="155"/>
        <v>5915.57</v>
      </c>
      <c r="L586" s="510"/>
      <c r="M586" s="512"/>
    </row>
    <row r="587" spans="1:13" x14ac:dyDescent="0.25">
      <c r="A587" s="510"/>
      <c r="B587" s="559">
        <v>42557</v>
      </c>
      <c r="C587" s="510">
        <v>500</v>
      </c>
      <c r="D587" s="511">
        <v>14.78</v>
      </c>
      <c r="E587" s="512">
        <v>0</v>
      </c>
      <c r="F587" s="512">
        <f t="shared" si="154"/>
        <v>7390</v>
      </c>
      <c r="G587" s="625"/>
      <c r="H587" s="527">
        <v>500</v>
      </c>
      <c r="I587" s="511">
        <v>15.51</v>
      </c>
      <c r="J587" s="512">
        <v>0.17</v>
      </c>
      <c r="K587" s="512">
        <f t="shared" si="155"/>
        <v>7754.83</v>
      </c>
      <c r="L587" s="510"/>
      <c r="M587" s="512"/>
    </row>
    <row r="588" spans="1:13" x14ac:dyDescent="0.25">
      <c r="A588" s="510"/>
      <c r="B588" s="611">
        <v>42564</v>
      </c>
      <c r="C588" s="510">
        <v>320</v>
      </c>
      <c r="D588" s="511">
        <v>15.48</v>
      </c>
      <c r="E588" s="512">
        <v>0</v>
      </c>
      <c r="F588" s="512">
        <f t="shared" si="154"/>
        <v>4953.6000000000004</v>
      </c>
      <c r="G588" s="625"/>
      <c r="H588" s="527">
        <v>800</v>
      </c>
      <c r="I588" s="511">
        <v>15.78</v>
      </c>
      <c r="J588" s="512">
        <v>0.28000000000000003</v>
      </c>
      <c r="K588" s="512">
        <f t="shared" si="155"/>
        <v>12623.72</v>
      </c>
      <c r="L588" s="510"/>
      <c r="M588" s="512"/>
    </row>
    <row r="589" spans="1:13" x14ac:dyDescent="0.25">
      <c r="A589" s="612"/>
      <c r="B589" s="611">
        <v>42564</v>
      </c>
      <c r="C589" s="510">
        <v>160</v>
      </c>
      <c r="D589" s="511">
        <v>15.48</v>
      </c>
      <c r="E589" s="512">
        <v>0</v>
      </c>
      <c r="F589" s="512">
        <f t="shared" si="154"/>
        <v>2476.8000000000002</v>
      </c>
      <c r="G589" s="509">
        <v>42557</v>
      </c>
      <c r="H589" s="527">
        <v>500</v>
      </c>
      <c r="I589" s="511">
        <v>14.92</v>
      </c>
      <c r="J589" s="512">
        <v>0.16</v>
      </c>
      <c r="K589" s="512">
        <f t="shared" si="155"/>
        <v>7459.84</v>
      </c>
      <c r="L589" s="510"/>
      <c r="M589" s="512"/>
    </row>
    <row r="590" spans="1:13" x14ac:dyDescent="0.25">
      <c r="A590" s="612"/>
      <c r="B590" s="559">
        <v>42570</v>
      </c>
      <c r="C590" s="510">
        <v>200</v>
      </c>
      <c r="D590" s="511">
        <v>15.18</v>
      </c>
      <c r="E590" s="512">
        <v>0</v>
      </c>
      <c r="F590" s="512">
        <f t="shared" si="154"/>
        <v>3036</v>
      </c>
      <c r="G590" s="509">
        <v>42564</v>
      </c>
      <c r="H590" s="527">
        <v>420</v>
      </c>
      <c r="I590" s="511">
        <v>15.68</v>
      </c>
      <c r="J590" s="512">
        <v>0.14000000000000001</v>
      </c>
      <c r="K590" s="512">
        <f t="shared" si="155"/>
        <v>6585.4599999999991</v>
      </c>
      <c r="L590" s="510"/>
      <c r="M590" s="512"/>
    </row>
    <row r="591" spans="1:13" x14ac:dyDescent="0.25">
      <c r="A591" s="612"/>
      <c r="B591" s="559">
        <v>42570</v>
      </c>
      <c r="C591" s="510">
        <v>200</v>
      </c>
      <c r="D591" s="511">
        <v>14.68</v>
      </c>
      <c r="E591" s="512">
        <v>0</v>
      </c>
      <c r="F591" s="512">
        <f t="shared" si="154"/>
        <v>2936</v>
      </c>
      <c r="G591" s="509">
        <v>42571</v>
      </c>
      <c r="H591" s="527">
        <v>200</v>
      </c>
      <c r="I591" s="511">
        <v>14.82</v>
      </c>
      <c r="J591" s="512">
        <v>0.06</v>
      </c>
      <c r="K591" s="512">
        <f t="shared" si="155"/>
        <v>2963.94</v>
      </c>
      <c r="L591" s="510"/>
      <c r="M591" s="512"/>
    </row>
    <row r="592" spans="1:13" x14ac:dyDescent="0.25">
      <c r="A592" s="510"/>
      <c r="B592" s="559">
        <v>42571</v>
      </c>
      <c r="C592" s="510">
        <v>200</v>
      </c>
      <c r="D592" s="511">
        <v>14.33</v>
      </c>
      <c r="E592" s="512">
        <v>-1</v>
      </c>
      <c r="F592" s="512">
        <f t="shared" si="154"/>
        <v>2865</v>
      </c>
      <c r="G592" s="509">
        <v>42572</v>
      </c>
      <c r="H592" s="527">
        <v>200</v>
      </c>
      <c r="I592" s="511">
        <v>14.8</v>
      </c>
      <c r="J592" s="512">
        <v>0.06</v>
      </c>
      <c r="K592" s="512">
        <f t="shared" si="155"/>
        <v>2959.94</v>
      </c>
      <c r="L592" s="510"/>
      <c r="M592" s="512"/>
    </row>
    <row r="593" spans="1:13" x14ac:dyDescent="0.25">
      <c r="A593" s="510"/>
      <c r="B593" s="559">
        <v>42572</v>
      </c>
      <c r="C593" s="510">
        <v>60</v>
      </c>
      <c r="D593" s="511">
        <v>14.58</v>
      </c>
      <c r="E593" s="512">
        <v>0</v>
      </c>
      <c r="F593" s="512">
        <f t="shared" si="154"/>
        <v>874.8</v>
      </c>
      <c r="G593" s="509">
        <v>42577</v>
      </c>
      <c r="H593" s="527">
        <v>200</v>
      </c>
      <c r="I593" s="511">
        <v>13.78</v>
      </c>
      <c r="J593" s="512">
        <v>0.06</v>
      </c>
      <c r="K593" s="512">
        <f t="shared" si="155"/>
        <v>2755.94</v>
      </c>
      <c r="L593" s="510"/>
      <c r="M593" s="512"/>
    </row>
    <row r="594" spans="1:13" x14ac:dyDescent="0.25">
      <c r="A594" s="510"/>
      <c r="B594" s="559">
        <v>42572</v>
      </c>
      <c r="C594" s="510">
        <v>140</v>
      </c>
      <c r="D594" s="511">
        <v>14.65</v>
      </c>
      <c r="E594" s="512">
        <v>0</v>
      </c>
      <c r="F594" s="512">
        <f t="shared" si="154"/>
        <v>2051</v>
      </c>
      <c r="G594" s="509">
        <v>42580</v>
      </c>
      <c r="H594" s="527">
        <v>200</v>
      </c>
      <c r="I594" s="511">
        <v>13.224</v>
      </c>
      <c r="J594" s="512">
        <v>0.08</v>
      </c>
      <c r="K594" s="512">
        <f t="shared" si="155"/>
        <v>2644.7200000000003</v>
      </c>
      <c r="L594" s="510"/>
      <c r="M594" s="512"/>
    </row>
    <row r="595" spans="1:13" x14ac:dyDescent="0.25">
      <c r="A595" s="510"/>
      <c r="B595" s="559">
        <v>42573</v>
      </c>
      <c r="C595" s="510">
        <v>140</v>
      </c>
      <c r="D595" s="511">
        <v>14.08</v>
      </c>
      <c r="E595" s="512">
        <v>0</v>
      </c>
      <c r="F595" s="512">
        <f t="shared" si="154"/>
        <v>1971.2</v>
      </c>
      <c r="G595" s="509">
        <v>42580</v>
      </c>
      <c r="H595" s="527">
        <v>200</v>
      </c>
      <c r="I595" s="511">
        <v>13.58</v>
      </c>
      <c r="J595" s="512">
        <v>0.06</v>
      </c>
      <c r="K595" s="512">
        <f t="shared" si="155"/>
        <v>2715.94</v>
      </c>
      <c r="L595" s="510"/>
      <c r="M595" s="512"/>
    </row>
    <row r="596" spans="1:13" x14ac:dyDescent="0.25">
      <c r="A596" s="510"/>
      <c r="B596" s="559">
        <v>42576</v>
      </c>
      <c r="C596" s="510">
        <v>200</v>
      </c>
      <c r="D596" s="511">
        <v>13.55</v>
      </c>
      <c r="E596" s="512">
        <v>0</v>
      </c>
      <c r="F596" s="512">
        <f t="shared" si="154"/>
        <v>2710</v>
      </c>
      <c r="G596" s="509">
        <v>42586</v>
      </c>
      <c r="H596" s="527">
        <v>400</v>
      </c>
      <c r="I596" s="511">
        <v>13.78</v>
      </c>
      <c r="J596" s="512">
        <v>0.12</v>
      </c>
      <c r="K596" s="512">
        <f t="shared" si="155"/>
        <v>5511.88</v>
      </c>
      <c r="L596" s="510"/>
      <c r="M596" s="512"/>
    </row>
    <row r="597" spans="1:13" x14ac:dyDescent="0.25">
      <c r="A597" s="510"/>
      <c r="B597" s="559">
        <v>42578</v>
      </c>
      <c r="C597" s="510">
        <v>200</v>
      </c>
      <c r="D597" s="511">
        <v>13.18</v>
      </c>
      <c r="E597" s="512">
        <v>0</v>
      </c>
      <c r="F597" s="512">
        <f t="shared" si="154"/>
        <v>2636</v>
      </c>
      <c r="G597" s="509">
        <v>42586</v>
      </c>
      <c r="H597" s="527">
        <v>400</v>
      </c>
      <c r="I597" s="511">
        <v>13.72</v>
      </c>
      <c r="J597" s="512">
        <v>0.12</v>
      </c>
      <c r="K597" s="512">
        <f t="shared" si="155"/>
        <v>5487.88</v>
      </c>
      <c r="L597" s="510"/>
      <c r="M597" s="512"/>
    </row>
    <row r="598" spans="1:13" x14ac:dyDescent="0.25">
      <c r="A598" s="510"/>
      <c r="B598" s="559">
        <v>42580</v>
      </c>
      <c r="C598" s="510">
        <v>200</v>
      </c>
      <c r="D598" s="511">
        <v>13.15</v>
      </c>
      <c r="E598" s="512">
        <v>0</v>
      </c>
      <c r="F598" s="512">
        <f t="shared" si="154"/>
        <v>2630</v>
      </c>
      <c r="G598" s="509">
        <v>42586</v>
      </c>
      <c r="H598" s="527">
        <v>140</v>
      </c>
      <c r="I598" s="511">
        <v>13.88</v>
      </c>
      <c r="J598" s="512">
        <v>0.04</v>
      </c>
      <c r="K598" s="512">
        <f t="shared" si="155"/>
        <v>1943.16</v>
      </c>
      <c r="L598" s="510"/>
      <c r="M598" s="512"/>
    </row>
    <row r="599" spans="1:13" x14ac:dyDescent="0.25">
      <c r="A599" s="510"/>
      <c r="B599" s="559">
        <v>42583</v>
      </c>
      <c r="C599" s="608">
        <v>20</v>
      </c>
      <c r="D599" s="511">
        <v>13.02</v>
      </c>
      <c r="E599" s="512">
        <v>0</v>
      </c>
      <c r="F599" s="512">
        <f t="shared" si="154"/>
        <v>260.39999999999998</v>
      </c>
      <c r="G599" s="509">
        <v>42593</v>
      </c>
      <c r="H599" s="527">
        <v>460</v>
      </c>
      <c r="I599" s="511">
        <v>14.59</v>
      </c>
      <c r="J599" s="512">
        <v>0.15</v>
      </c>
      <c r="K599" s="512">
        <f t="shared" si="155"/>
        <v>6711.25</v>
      </c>
      <c r="L599" s="510"/>
      <c r="M599" s="512"/>
    </row>
    <row r="600" spans="1:13" x14ac:dyDescent="0.25">
      <c r="A600" s="510"/>
      <c r="B600" s="559">
        <v>42583</v>
      </c>
      <c r="C600" s="510">
        <v>180</v>
      </c>
      <c r="D600" s="511">
        <v>13.02</v>
      </c>
      <c r="E600" s="512">
        <v>0</v>
      </c>
      <c r="F600" s="512">
        <f t="shared" si="154"/>
        <v>2343.6</v>
      </c>
      <c r="G600" s="509">
        <v>42594</v>
      </c>
      <c r="H600" s="527">
        <v>500</v>
      </c>
      <c r="I600" s="511">
        <v>14.88</v>
      </c>
      <c r="J600" s="512">
        <v>0.16</v>
      </c>
      <c r="K600" s="512">
        <f t="shared" si="155"/>
        <v>7439.84</v>
      </c>
      <c r="L600" s="510"/>
      <c r="M600" s="512"/>
    </row>
    <row r="601" spans="1:13" x14ac:dyDescent="0.25">
      <c r="A601" s="510"/>
      <c r="B601" s="559">
        <v>42584</v>
      </c>
      <c r="C601" s="510">
        <v>120</v>
      </c>
      <c r="D601" s="511">
        <v>12.68</v>
      </c>
      <c r="E601" s="512">
        <v>0</v>
      </c>
      <c r="F601" s="512">
        <f t="shared" si="154"/>
        <v>1521.6</v>
      </c>
      <c r="G601" s="509">
        <v>42598</v>
      </c>
      <c r="H601" s="527">
        <v>500</v>
      </c>
      <c r="I601" s="511">
        <v>15.18</v>
      </c>
      <c r="J601" s="512">
        <v>0.17</v>
      </c>
      <c r="K601" s="512">
        <f t="shared" si="155"/>
        <v>7589.83</v>
      </c>
      <c r="L601" s="510"/>
      <c r="M601" s="512"/>
    </row>
    <row r="602" spans="1:13" x14ac:dyDescent="0.25">
      <c r="A602" s="510"/>
      <c r="B602" s="559">
        <v>42584</v>
      </c>
      <c r="C602" s="510">
        <v>80</v>
      </c>
      <c r="D602" s="511">
        <v>12.68</v>
      </c>
      <c r="E602" s="512">
        <v>0</v>
      </c>
      <c r="F602" s="512">
        <f t="shared" si="154"/>
        <v>1014.4</v>
      </c>
      <c r="G602" s="509">
        <v>42599</v>
      </c>
      <c r="H602" s="527">
        <v>500</v>
      </c>
      <c r="I602" s="511">
        <v>15.18</v>
      </c>
      <c r="J602" s="512">
        <v>0.17</v>
      </c>
      <c r="K602" s="512">
        <f t="shared" si="155"/>
        <v>7589.83</v>
      </c>
      <c r="L602" s="510"/>
      <c r="M602" s="512"/>
    </row>
    <row r="603" spans="1:13" x14ac:dyDescent="0.25">
      <c r="A603" s="510"/>
      <c r="B603" s="559">
        <v>42585</v>
      </c>
      <c r="C603" s="510">
        <v>242</v>
      </c>
      <c r="D603" s="511">
        <v>13.38</v>
      </c>
      <c r="E603" s="512">
        <v>0</v>
      </c>
      <c r="F603" s="512">
        <f t="shared" si="154"/>
        <v>3237.96</v>
      </c>
      <c r="G603" s="509">
        <v>42599</v>
      </c>
      <c r="H603" s="527">
        <v>500</v>
      </c>
      <c r="I603" s="511">
        <v>15.41</v>
      </c>
      <c r="J603" s="512">
        <v>0.17</v>
      </c>
      <c r="K603" s="512">
        <f t="shared" si="155"/>
        <v>7704.83</v>
      </c>
      <c r="L603" s="510"/>
      <c r="M603" s="512"/>
    </row>
    <row r="604" spans="1:13" x14ac:dyDescent="0.25">
      <c r="A604" s="510"/>
      <c r="B604" s="559">
        <v>42585</v>
      </c>
      <c r="C604" s="510">
        <v>158</v>
      </c>
      <c r="D604" s="511">
        <v>13.38</v>
      </c>
      <c r="E604" s="512">
        <v>0</v>
      </c>
      <c r="F604" s="512">
        <f t="shared" si="154"/>
        <v>2114.04</v>
      </c>
      <c r="G604" s="509">
        <v>42599</v>
      </c>
      <c r="H604" s="527">
        <v>500</v>
      </c>
      <c r="I604" s="511">
        <v>15.65</v>
      </c>
      <c r="J604" s="512">
        <v>0.17</v>
      </c>
      <c r="K604" s="512">
        <f t="shared" si="155"/>
        <v>7824.83</v>
      </c>
      <c r="L604" s="510"/>
      <c r="M604" s="512"/>
    </row>
    <row r="605" spans="1:13" ht="45" x14ac:dyDescent="0.25">
      <c r="A605" s="510"/>
      <c r="B605" s="559">
        <v>42594</v>
      </c>
      <c r="C605" s="510">
        <v>500</v>
      </c>
      <c r="D605" s="511">
        <v>14.65</v>
      </c>
      <c r="E605" s="512">
        <v>0</v>
      </c>
      <c r="F605" s="512">
        <f t="shared" si="154"/>
        <v>7325</v>
      </c>
      <c r="G605" s="630" t="s">
        <v>258</v>
      </c>
      <c r="H605" s="527">
        <v>500</v>
      </c>
      <c r="I605" s="511">
        <v>16.18</v>
      </c>
      <c r="J605" s="512">
        <v>0.18</v>
      </c>
      <c r="K605" s="512">
        <f t="shared" si="155"/>
        <v>8089.82</v>
      </c>
      <c r="L605" s="510"/>
      <c r="M605" s="512"/>
    </row>
    <row r="606" spans="1:13" x14ac:dyDescent="0.25">
      <c r="A606" s="510"/>
      <c r="B606" s="559">
        <v>42599</v>
      </c>
      <c r="C606" s="510">
        <v>242</v>
      </c>
      <c r="D606" s="511">
        <v>14.95</v>
      </c>
      <c r="E606" s="512">
        <v>0</v>
      </c>
      <c r="F606" s="512">
        <f t="shared" si="154"/>
        <v>3617.8999999999996</v>
      </c>
      <c r="G606" s="630"/>
      <c r="H606" s="527">
        <v>500</v>
      </c>
      <c r="I606" s="511">
        <v>16.38</v>
      </c>
      <c r="J606" s="512">
        <v>0.18</v>
      </c>
      <c r="K606" s="512">
        <f t="shared" si="155"/>
        <v>8189.8199999999988</v>
      </c>
      <c r="L606" s="510"/>
      <c r="M606" s="512"/>
    </row>
    <row r="607" spans="1:13" x14ac:dyDescent="0.25">
      <c r="A607" s="510"/>
      <c r="B607" s="559">
        <v>42599</v>
      </c>
      <c r="C607" s="510">
        <v>200</v>
      </c>
      <c r="D607" s="511">
        <v>14.95</v>
      </c>
      <c r="E607" s="512">
        <v>0</v>
      </c>
      <c r="F607" s="512">
        <f t="shared" si="154"/>
        <v>2990</v>
      </c>
      <c r="G607" s="630"/>
      <c r="H607" s="527">
        <v>178</v>
      </c>
      <c r="I607" s="511">
        <v>16.5</v>
      </c>
      <c r="J607" s="512">
        <v>0.06</v>
      </c>
      <c r="K607" s="512">
        <f t="shared" si="155"/>
        <v>2936.94</v>
      </c>
      <c r="L607" s="510"/>
      <c r="M607" s="512"/>
    </row>
    <row r="608" spans="1:13" x14ac:dyDescent="0.25">
      <c r="A608" s="510"/>
      <c r="B608" s="559">
        <v>42599</v>
      </c>
      <c r="C608" s="510">
        <v>36</v>
      </c>
      <c r="D608" s="511">
        <v>14.95</v>
      </c>
      <c r="E608" s="512">
        <v>0</v>
      </c>
      <c r="F608" s="512">
        <f t="shared" si="154"/>
        <v>538.19999999999993</v>
      </c>
      <c r="G608" s="630"/>
      <c r="H608" s="527">
        <v>500</v>
      </c>
      <c r="I608" s="511">
        <v>16.72</v>
      </c>
      <c r="J608" s="512">
        <v>0.18</v>
      </c>
      <c r="K608" s="512">
        <f t="shared" si="155"/>
        <v>8359.82</v>
      </c>
      <c r="L608" s="510"/>
      <c r="M608" s="512"/>
    </row>
    <row r="609" spans="1:13" x14ac:dyDescent="0.25">
      <c r="A609" s="510"/>
      <c r="B609" s="559">
        <v>42599</v>
      </c>
      <c r="C609" s="510">
        <v>22</v>
      </c>
      <c r="D609" s="511">
        <v>14.95</v>
      </c>
      <c r="E609" s="512">
        <v>0</v>
      </c>
      <c r="F609" s="512">
        <f t="shared" si="154"/>
        <v>328.9</v>
      </c>
      <c r="G609" s="509">
        <v>42601</v>
      </c>
      <c r="H609" s="527">
        <v>500</v>
      </c>
      <c r="I609" s="511">
        <v>16.82</v>
      </c>
      <c r="J609" s="512">
        <v>0.18</v>
      </c>
      <c r="K609" s="512">
        <f t="shared" si="155"/>
        <v>8409.82</v>
      </c>
      <c r="L609" s="510"/>
      <c r="M609" s="512"/>
    </row>
    <row r="610" spans="1:13" x14ac:dyDescent="0.25">
      <c r="A610" s="510"/>
      <c r="B610" s="559">
        <v>42604</v>
      </c>
      <c r="C610" s="510">
        <v>1000</v>
      </c>
      <c r="D610" s="511">
        <v>15.68</v>
      </c>
      <c r="E610" s="512">
        <v>0</v>
      </c>
      <c r="F610" s="512">
        <f t="shared" si="154"/>
        <v>15680</v>
      </c>
      <c r="G610" s="509">
        <v>42605</v>
      </c>
      <c r="H610" s="527">
        <v>500</v>
      </c>
      <c r="I610" s="511">
        <v>15.98</v>
      </c>
      <c r="J610" s="512">
        <v>0.17</v>
      </c>
      <c r="K610" s="512">
        <f t="shared" si="155"/>
        <v>7989.83</v>
      </c>
      <c r="L610" s="510"/>
      <c r="M610" s="512"/>
    </row>
    <row r="611" spans="1:13" x14ac:dyDescent="0.25">
      <c r="A611" s="510"/>
      <c r="B611" s="559">
        <v>42604</v>
      </c>
      <c r="C611" s="510">
        <v>500</v>
      </c>
      <c r="D611" s="511">
        <v>15.48</v>
      </c>
      <c r="E611" s="512">
        <v>0</v>
      </c>
      <c r="F611" s="512">
        <f t="shared" si="154"/>
        <v>7740</v>
      </c>
      <c r="G611" s="509">
        <v>42605</v>
      </c>
      <c r="H611" s="527">
        <v>500</v>
      </c>
      <c r="I611" s="511">
        <v>16.25</v>
      </c>
      <c r="J611" s="512">
        <v>0.18</v>
      </c>
      <c r="K611" s="512">
        <f t="shared" si="155"/>
        <v>8124.82</v>
      </c>
      <c r="L611" s="510"/>
      <c r="M611" s="512"/>
    </row>
    <row r="612" spans="1:13" x14ac:dyDescent="0.25">
      <c r="A612" s="510"/>
      <c r="B612" s="559">
        <v>42606</v>
      </c>
      <c r="C612" s="510">
        <v>178</v>
      </c>
      <c r="D612" s="511">
        <v>16.059999999999999</v>
      </c>
      <c r="E612" s="512">
        <v>0</v>
      </c>
      <c r="F612" s="512">
        <f t="shared" si="154"/>
        <v>2858.68</v>
      </c>
      <c r="G612" s="509">
        <v>42605</v>
      </c>
      <c r="H612" s="527">
        <v>500</v>
      </c>
      <c r="I612" s="511">
        <v>16.48</v>
      </c>
      <c r="J612" s="512">
        <v>0.18</v>
      </c>
      <c r="K612" s="512">
        <f t="shared" si="155"/>
        <v>8239.82</v>
      </c>
      <c r="L612" s="510"/>
      <c r="M612" s="512"/>
    </row>
    <row r="613" spans="1:13" x14ac:dyDescent="0.25">
      <c r="A613" s="510"/>
      <c r="B613" s="559">
        <v>42608</v>
      </c>
      <c r="C613" s="510">
        <v>500</v>
      </c>
      <c r="D613" s="511">
        <v>15.98</v>
      </c>
      <c r="E613" s="512">
        <v>0</v>
      </c>
      <c r="F613" s="512">
        <f t="shared" si="154"/>
        <v>7990</v>
      </c>
      <c r="G613" s="509">
        <v>42615</v>
      </c>
      <c r="H613" s="527">
        <v>500</v>
      </c>
      <c r="I613" s="511">
        <v>15.65</v>
      </c>
      <c r="J613" s="512">
        <v>0.17</v>
      </c>
      <c r="K613" s="512">
        <f t="shared" si="155"/>
        <v>7824.83</v>
      </c>
      <c r="L613" s="510"/>
      <c r="M613" s="512"/>
    </row>
    <row r="614" spans="1:13" ht="30" x14ac:dyDescent="0.25">
      <c r="A614" s="510"/>
      <c r="B614" s="559">
        <v>42608</v>
      </c>
      <c r="C614" s="510">
        <v>500</v>
      </c>
      <c r="D614" s="511">
        <v>15.85</v>
      </c>
      <c r="E614" s="512">
        <v>0</v>
      </c>
      <c r="F614" s="512">
        <f t="shared" si="154"/>
        <v>7925</v>
      </c>
      <c r="G614" s="509">
        <v>42621</v>
      </c>
      <c r="H614" s="527">
        <v>500</v>
      </c>
      <c r="I614" s="511">
        <v>16.72</v>
      </c>
      <c r="J614" s="512">
        <v>0.18</v>
      </c>
      <c r="K614" s="512">
        <f t="shared" si="155"/>
        <v>8359.82</v>
      </c>
      <c r="L614" s="631" t="s">
        <v>271</v>
      </c>
      <c r="M614" s="512"/>
    </row>
    <row r="615" spans="1:13" x14ac:dyDescent="0.25">
      <c r="A615" s="510"/>
      <c r="B615" s="559">
        <v>42612</v>
      </c>
      <c r="C615" s="510">
        <v>500</v>
      </c>
      <c r="D615" s="511">
        <v>15.68</v>
      </c>
      <c r="E615" s="512">
        <v>0</v>
      </c>
      <c r="F615" s="512">
        <f t="shared" si="154"/>
        <v>7840</v>
      </c>
      <c r="G615" s="509">
        <v>42621</v>
      </c>
      <c r="H615" s="527">
        <v>500</v>
      </c>
      <c r="I615" s="511">
        <v>16.28</v>
      </c>
      <c r="J615" s="512">
        <v>0.18</v>
      </c>
      <c r="K615" s="512">
        <f t="shared" si="155"/>
        <v>8139.8200000000006</v>
      </c>
      <c r="L615" s="631"/>
      <c r="M615" s="512"/>
    </row>
    <row r="616" spans="1:13" x14ac:dyDescent="0.25">
      <c r="A616" s="510"/>
      <c r="B616" s="559">
        <v>42612</v>
      </c>
      <c r="C616" s="510">
        <v>500</v>
      </c>
      <c r="D616" s="511">
        <v>15.55</v>
      </c>
      <c r="E616" s="512">
        <v>0</v>
      </c>
      <c r="F616" s="512">
        <f t="shared" si="154"/>
        <v>7775</v>
      </c>
      <c r="G616" s="509">
        <v>42621</v>
      </c>
      <c r="H616" s="527">
        <v>220</v>
      </c>
      <c r="I616" s="511">
        <v>16.77</v>
      </c>
      <c r="J616" s="512">
        <v>0.08</v>
      </c>
      <c r="K616" s="512">
        <f t="shared" si="155"/>
        <v>3689.32</v>
      </c>
      <c r="L616" s="631"/>
      <c r="M616" s="512"/>
    </row>
    <row r="617" spans="1:13" x14ac:dyDescent="0.25">
      <c r="A617" s="510"/>
      <c r="B617" s="559">
        <v>42613</v>
      </c>
      <c r="C617" s="510">
        <v>500</v>
      </c>
      <c r="D617" s="511">
        <v>15.244999999999999</v>
      </c>
      <c r="E617" s="512">
        <v>0</v>
      </c>
      <c r="F617" s="512">
        <f t="shared" si="154"/>
        <v>7622.5</v>
      </c>
      <c r="G617" s="509">
        <v>42625</v>
      </c>
      <c r="H617" s="527">
        <v>500</v>
      </c>
      <c r="I617" s="511">
        <v>15.5</v>
      </c>
      <c r="J617" s="512">
        <v>0.17</v>
      </c>
      <c r="K617" s="512">
        <f t="shared" si="155"/>
        <v>7749.83</v>
      </c>
      <c r="L617" s="510"/>
      <c r="M617" s="512"/>
    </row>
    <row r="618" spans="1:13" x14ac:dyDescent="0.25">
      <c r="A618" s="510"/>
      <c r="B618" s="559">
        <v>42613</v>
      </c>
      <c r="C618" s="510">
        <v>500</v>
      </c>
      <c r="D618" s="511">
        <v>15.08</v>
      </c>
      <c r="E618" s="512">
        <v>0</v>
      </c>
      <c r="F618" s="512">
        <f t="shared" si="154"/>
        <v>7540</v>
      </c>
      <c r="G618" s="509">
        <v>42628</v>
      </c>
      <c r="H618" s="527">
        <v>300</v>
      </c>
      <c r="I618" s="511">
        <v>14.46</v>
      </c>
      <c r="J618" s="512">
        <v>0.09</v>
      </c>
      <c r="K618" s="512">
        <f t="shared" si="155"/>
        <v>4337.91</v>
      </c>
      <c r="L618" s="510"/>
      <c r="M618" s="512"/>
    </row>
    <row r="619" spans="1:13" x14ac:dyDescent="0.25">
      <c r="A619" s="510"/>
      <c r="B619" s="559">
        <v>42622</v>
      </c>
      <c r="C619" s="510">
        <v>220</v>
      </c>
      <c r="D619" s="511">
        <v>16.25</v>
      </c>
      <c r="E619" s="512">
        <v>0</v>
      </c>
      <c r="F619" s="512">
        <f t="shared" si="154"/>
        <v>3575</v>
      </c>
      <c r="G619" s="509">
        <v>42634</v>
      </c>
      <c r="H619" s="527">
        <v>322</v>
      </c>
      <c r="I619" s="511">
        <v>14.28</v>
      </c>
      <c r="J619" s="512">
        <v>0.1</v>
      </c>
      <c r="K619" s="512">
        <f t="shared" si="155"/>
        <v>4598.0599999999995</v>
      </c>
      <c r="L619" s="510"/>
      <c r="M619" s="512"/>
    </row>
    <row r="620" spans="1:13" x14ac:dyDescent="0.25">
      <c r="A620" s="510"/>
      <c r="B620" s="559">
        <v>42622</v>
      </c>
      <c r="C620" s="510">
        <v>500</v>
      </c>
      <c r="D620" s="511">
        <v>15.98</v>
      </c>
      <c r="E620" s="512">
        <v>0</v>
      </c>
      <c r="F620" s="512">
        <f t="shared" si="154"/>
        <v>7990</v>
      </c>
      <c r="G620" s="509">
        <v>42634</v>
      </c>
      <c r="H620" s="527">
        <v>400</v>
      </c>
      <c r="I620" s="511">
        <v>14.64</v>
      </c>
      <c r="J620" s="512">
        <v>0.13</v>
      </c>
      <c r="K620" s="512">
        <f t="shared" si="155"/>
        <v>5855.87</v>
      </c>
      <c r="L620" s="510"/>
      <c r="M620" s="512"/>
    </row>
    <row r="621" spans="1:13" x14ac:dyDescent="0.25">
      <c r="A621" s="510"/>
      <c r="B621" s="559">
        <v>42622</v>
      </c>
      <c r="C621" s="510">
        <v>500</v>
      </c>
      <c r="D621" s="511">
        <v>15.75</v>
      </c>
      <c r="E621" s="512">
        <v>0</v>
      </c>
      <c r="F621" s="512">
        <f t="shared" si="154"/>
        <v>7875</v>
      </c>
      <c r="G621" s="509">
        <v>42639</v>
      </c>
      <c r="H621" s="527">
        <v>200</v>
      </c>
      <c r="I621" s="511">
        <v>14.72</v>
      </c>
      <c r="J621" s="512">
        <v>0.06</v>
      </c>
      <c r="K621" s="512">
        <f t="shared" si="155"/>
        <v>2943.94</v>
      </c>
      <c r="L621" s="510"/>
      <c r="M621" s="512"/>
    </row>
    <row r="622" spans="1:13" x14ac:dyDescent="0.25">
      <c r="A622" s="510"/>
      <c r="B622" s="559">
        <v>42625</v>
      </c>
      <c r="C622" s="510">
        <v>500</v>
      </c>
      <c r="D622" s="511">
        <v>15.22</v>
      </c>
      <c r="E622" s="512">
        <v>0</v>
      </c>
      <c r="F622" s="512">
        <f t="shared" si="154"/>
        <v>7610</v>
      </c>
      <c r="G622" s="509">
        <v>42641</v>
      </c>
      <c r="H622" s="527">
        <v>300</v>
      </c>
      <c r="I622" s="511">
        <v>15.28</v>
      </c>
      <c r="J622" s="512">
        <v>0.1</v>
      </c>
      <c r="K622" s="512">
        <f t="shared" si="155"/>
        <v>4583.8999999999996</v>
      </c>
      <c r="L622" s="510"/>
      <c r="M622" s="512"/>
    </row>
    <row r="623" spans="1:13" ht="30" x14ac:dyDescent="0.25">
      <c r="A623" s="613" t="s">
        <v>281</v>
      </c>
      <c r="B623" s="559">
        <v>42626</v>
      </c>
      <c r="C623" s="510">
        <v>600</v>
      </c>
      <c r="D623" s="511">
        <v>14.91</v>
      </c>
      <c r="E623" s="512">
        <v>-3</v>
      </c>
      <c r="F623" s="512">
        <f t="shared" si="154"/>
        <v>8943</v>
      </c>
      <c r="G623" s="509">
        <v>42641</v>
      </c>
      <c r="H623" s="527">
        <v>400</v>
      </c>
      <c r="I623" s="511">
        <v>15.06</v>
      </c>
      <c r="J623" s="512">
        <v>0.13</v>
      </c>
      <c r="K623" s="512">
        <f t="shared" si="155"/>
        <v>6023.87</v>
      </c>
      <c r="L623" s="510"/>
      <c r="M623" s="512"/>
    </row>
    <row r="624" spans="1:13" x14ac:dyDescent="0.25">
      <c r="A624" s="613"/>
      <c r="B624" s="559">
        <v>42626</v>
      </c>
      <c r="C624" s="510">
        <v>400</v>
      </c>
      <c r="D624" s="511">
        <v>14.75</v>
      </c>
      <c r="E624" s="512">
        <v>0</v>
      </c>
      <c r="F624" s="512">
        <f t="shared" si="154"/>
        <v>5900</v>
      </c>
      <c r="G624" s="509">
        <v>42641</v>
      </c>
      <c r="H624" s="527">
        <v>322</v>
      </c>
      <c r="I624" s="511">
        <v>14.39</v>
      </c>
      <c r="J624" s="512">
        <v>0.1</v>
      </c>
      <c r="K624" s="512">
        <f t="shared" si="155"/>
        <v>4633.4799999999996</v>
      </c>
      <c r="L624" s="510"/>
      <c r="M624" s="512"/>
    </row>
    <row r="625" spans="1:13" x14ac:dyDescent="0.25">
      <c r="A625" s="613"/>
      <c r="B625" s="559">
        <v>42626</v>
      </c>
      <c r="C625" s="510">
        <v>300</v>
      </c>
      <c r="D625" s="511">
        <v>14.48</v>
      </c>
      <c r="E625" s="512">
        <v>0</v>
      </c>
      <c r="F625" s="512">
        <f t="shared" si="154"/>
        <v>4344</v>
      </c>
      <c r="G625" s="509">
        <v>42641</v>
      </c>
      <c r="H625" s="527">
        <v>500</v>
      </c>
      <c r="I625" s="511">
        <v>14.26</v>
      </c>
      <c r="J625" s="512">
        <v>0.16</v>
      </c>
      <c r="K625" s="512">
        <f t="shared" si="155"/>
        <v>7129.84</v>
      </c>
      <c r="L625" s="510"/>
      <c r="M625" s="512"/>
    </row>
    <row r="626" spans="1:13" x14ac:dyDescent="0.25">
      <c r="A626" s="613"/>
      <c r="B626" s="559">
        <v>42626</v>
      </c>
      <c r="C626" s="510">
        <v>300</v>
      </c>
      <c r="D626" s="511">
        <v>14.25</v>
      </c>
      <c r="E626" s="512">
        <v>0</v>
      </c>
      <c r="F626" s="512">
        <f t="shared" si="154"/>
        <v>4275</v>
      </c>
      <c r="G626" s="509">
        <v>42642</v>
      </c>
      <c r="H626" s="527">
        <v>300</v>
      </c>
      <c r="I626" s="511">
        <v>15.28</v>
      </c>
      <c r="J626" s="512">
        <v>0.1</v>
      </c>
      <c r="K626" s="512">
        <f t="shared" si="155"/>
        <v>4583.8999999999996</v>
      </c>
      <c r="L626" s="510"/>
      <c r="M626" s="512"/>
    </row>
    <row r="627" spans="1:13" x14ac:dyDescent="0.25">
      <c r="A627" s="613"/>
      <c r="B627" s="559">
        <v>42627</v>
      </c>
      <c r="C627" s="510">
        <v>200</v>
      </c>
      <c r="D627" s="511">
        <v>14.02</v>
      </c>
      <c r="E627" s="512">
        <v>-1</v>
      </c>
      <c r="F627" s="512">
        <f t="shared" si="154"/>
        <v>2803</v>
      </c>
      <c r="G627" s="509">
        <v>42642</v>
      </c>
      <c r="H627" s="527">
        <v>700</v>
      </c>
      <c r="I627" s="511">
        <v>15.78</v>
      </c>
      <c r="J627" s="512">
        <v>0.24</v>
      </c>
      <c r="K627" s="512">
        <f t="shared" si="155"/>
        <v>11045.76</v>
      </c>
      <c r="L627" s="510"/>
      <c r="M627" s="512"/>
    </row>
    <row r="628" spans="1:13" x14ac:dyDescent="0.25">
      <c r="A628" s="510"/>
      <c r="B628" s="559">
        <v>42628</v>
      </c>
      <c r="C628" s="510">
        <v>300</v>
      </c>
      <c r="D628" s="511">
        <v>14.3</v>
      </c>
      <c r="E628" s="512">
        <v>0</v>
      </c>
      <c r="F628" s="512">
        <f t="shared" si="154"/>
        <v>4290</v>
      </c>
      <c r="G628" s="509">
        <v>42642</v>
      </c>
      <c r="H628" s="527">
        <v>214</v>
      </c>
      <c r="I628" s="511">
        <v>15.98</v>
      </c>
      <c r="J628" s="512">
        <v>7.0000000000000007E-2</v>
      </c>
      <c r="K628" s="512">
        <f t="shared" si="155"/>
        <v>3419.65</v>
      </c>
      <c r="L628" s="510"/>
      <c r="M628" s="512"/>
    </row>
    <row r="629" spans="1:13" x14ac:dyDescent="0.25">
      <c r="A629" s="510"/>
      <c r="B629" s="559">
        <v>42632</v>
      </c>
      <c r="C629" s="510">
        <v>200</v>
      </c>
      <c r="D629" s="511">
        <v>14.06</v>
      </c>
      <c r="E629" s="512">
        <v>0</v>
      </c>
      <c r="F629" s="512">
        <f t="shared" si="154"/>
        <v>2812</v>
      </c>
      <c r="G629" s="509">
        <v>42648</v>
      </c>
      <c r="H629" s="527">
        <v>1000</v>
      </c>
      <c r="I629" s="511">
        <v>16.079999999999998</v>
      </c>
      <c r="J629" s="512">
        <v>0.35</v>
      </c>
      <c r="K629" s="512">
        <f t="shared" si="155"/>
        <v>16079.649999999998</v>
      </c>
      <c r="L629" s="510"/>
      <c r="M629" s="512"/>
    </row>
    <row r="630" spans="1:13" x14ac:dyDescent="0.25">
      <c r="A630" s="510"/>
      <c r="B630" s="559">
        <v>42633</v>
      </c>
      <c r="C630" s="510">
        <v>200</v>
      </c>
      <c r="D630" s="511">
        <v>14.11</v>
      </c>
      <c r="E630" s="512">
        <v>0</v>
      </c>
      <c r="F630" s="512">
        <f t="shared" si="154"/>
        <v>2822</v>
      </c>
      <c r="G630" s="509">
        <v>42648</v>
      </c>
      <c r="H630" s="527">
        <v>500</v>
      </c>
      <c r="I630" s="511">
        <v>16.38</v>
      </c>
      <c r="J630" s="512">
        <v>0.18</v>
      </c>
      <c r="K630" s="512">
        <f t="shared" si="155"/>
        <v>8189.8199999999988</v>
      </c>
      <c r="L630" s="510"/>
      <c r="M630" s="512"/>
    </row>
    <row r="631" spans="1:13" x14ac:dyDescent="0.25">
      <c r="A631" s="510"/>
      <c r="B631" s="559">
        <v>42633</v>
      </c>
      <c r="C631" s="510">
        <v>122</v>
      </c>
      <c r="D631" s="511">
        <v>14.1</v>
      </c>
      <c r="E631" s="512">
        <v>0</v>
      </c>
      <c r="F631" s="512">
        <f t="shared" si="154"/>
        <v>1720.2</v>
      </c>
      <c r="G631" s="509">
        <v>42649</v>
      </c>
      <c r="H631" s="527">
        <v>500</v>
      </c>
      <c r="I631" s="511">
        <v>16.16</v>
      </c>
      <c r="J631" s="512">
        <v>0.18</v>
      </c>
      <c r="K631" s="512">
        <f t="shared" si="155"/>
        <v>8079.82</v>
      </c>
      <c r="L631" s="510"/>
      <c r="M631" s="512"/>
    </row>
    <row r="632" spans="1:13" x14ac:dyDescent="0.25">
      <c r="A632" s="510"/>
      <c r="B632" s="559">
        <v>42636</v>
      </c>
      <c r="C632" s="510">
        <v>200</v>
      </c>
      <c r="D632" s="511">
        <v>14.38</v>
      </c>
      <c r="E632" s="512">
        <v>0</v>
      </c>
      <c r="F632" s="512">
        <f t="shared" si="154"/>
        <v>2876</v>
      </c>
      <c r="G632" s="509">
        <v>42671</v>
      </c>
      <c r="H632" s="527">
        <v>1000</v>
      </c>
      <c r="I632" s="511">
        <v>14.22</v>
      </c>
      <c r="J632" s="512">
        <v>0.31</v>
      </c>
      <c r="K632" s="512">
        <f t="shared" si="155"/>
        <v>14219.69</v>
      </c>
      <c r="L632" s="510"/>
      <c r="M632" s="512"/>
    </row>
    <row r="633" spans="1:13" x14ac:dyDescent="0.25">
      <c r="A633" s="510"/>
      <c r="B633" s="559">
        <v>42639</v>
      </c>
      <c r="C633" s="510">
        <v>200</v>
      </c>
      <c r="D633" s="511">
        <v>14.5</v>
      </c>
      <c r="E633" s="512">
        <v>0</v>
      </c>
      <c r="F633" s="512">
        <f t="shared" ref="F633:F647" si="156">C633*D633+E633</f>
        <v>2900</v>
      </c>
      <c r="G633" s="509">
        <v>42674</v>
      </c>
      <c r="H633" s="527">
        <v>300</v>
      </c>
      <c r="I633" s="511">
        <v>13.42</v>
      </c>
      <c r="J633" s="512">
        <v>0.09</v>
      </c>
      <c r="K633" s="512">
        <f t="shared" si="155"/>
        <v>4025.91</v>
      </c>
      <c r="L633" s="510"/>
      <c r="M633" s="512"/>
    </row>
    <row r="634" spans="1:13" x14ac:dyDescent="0.25">
      <c r="A634" s="510"/>
      <c r="B634" s="559">
        <v>42639</v>
      </c>
      <c r="C634" s="510">
        <v>200</v>
      </c>
      <c r="D634" s="511">
        <v>14.38</v>
      </c>
      <c r="E634" s="512">
        <v>0</v>
      </c>
      <c r="F634" s="512">
        <f t="shared" si="156"/>
        <v>2876</v>
      </c>
      <c r="G634" s="509">
        <v>42674</v>
      </c>
      <c r="H634" s="527">
        <v>200</v>
      </c>
      <c r="I634" s="511">
        <v>13.25</v>
      </c>
      <c r="J634" s="512">
        <v>-0.74</v>
      </c>
      <c r="K634" s="512">
        <f t="shared" si="155"/>
        <v>2650.74</v>
      </c>
      <c r="L634" s="510"/>
      <c r="M634" s="512"/>
    </row>
    <row r="635" spans="1:13" x14ac:dyDescent="0.25">
      <c r="A635" s="510"/>
      <c r="B635" s="559">
        <v>42640</v>
      </c>
      <c r="C635" s="510">
        <v>322</v>
      </c>
      <c r="D635" s="511">
        <v>13.97</v>
      </c>
      <c r="E635" s="512">
        <v>0</v>
      </c>
      <c r="F635" s="512">
        <f t="shared" si="156"/>
        <v>4498.34</v>
      </c>
      <c r="G635" s="509">
        <v>42676</v>
      </c>
      <c r="H635" s="527">
        <v>200</v>
      </c>
      <c r="I635" s="511">
        <v>13.05</v>
      </c>
      <c r="J635" s="512">
        <v>0.06</v>
      </c>
      <c r="K635" s="512">
        <f t="shared" si="155"/>
        <v>2609.94</v>
      </c>
      <c r="L635" s="510"/>
      <c r="M635" s="512"/>
    </row>
    <row r="636" spans="1:13" x14ac:dyDescent="0.25">
      <c r="A636" s="510"/>
      <c r="B636" s="559">
        <v>42641</v>
      </c>
      <c r="C636" s="510">
        <v>300</v>
      </c>
      <c r="D636" s="511">
        <v>14.02</v>
      </c>
      <c r="E636" s="512">
        <v>-1.26</v>
      </c>
      <c r="F636" s="512">
        <f t="shared" si="156"/>
        <v>4204.74</v>
      </c>
      <c r="G636" s="509">
        <v>42677</v>
      </c>
      <c r="H636" s="527">
        <v>500</v>
      </c>
      <c r="I636" s="511">
        <v>13.96</v>
      </c>
      <c r="J636" s="512">
        <v>0.15</v>
      </c>
      <c r="K636" s="512">
        <f t="shared" si="155"/>
        <v>6979.85</v>
      </c>
      <c r="L636" s="510"/>
      <c r="M636" s="512"/>
    </row>
    <row r="637" spans="1:13" x14ac:dyDescent="0.25">
      <c r="A637" s="510"/>
      <c r="B637" s="559">
        <v>42641</v>
      </c>
      <c r="C637" s="510">
        <v>200</v>
      </c>
      <c r="D637" s="511">
        <v>14.17</v>
      </c>
      <c r="E637" s="512">
        <v>0</v>
      </c>
      <c r="F637" s="512">
        <f t="shared" si="156"/>
        <v>2834</v>
      </c>
      <c r="G637" s="509">
        <v>42677</v>
      </c>
      <c r="H637" s="527">
        <v>2000</v>
      </c>
      <c r="I637" s="511">
        <v>14.5</v>
      </c>
      <c r="J637" s="512">
        <v>0.63</v>
      </c>
      <c r="K637" s="512">
        <f t="shared" si="155"/>
        <v>28999.37</v>
      </c>
      <c r="L637" s="510"/>
      <c r="M637" s="512"/>
    </row>
    <row r="638" spans="1:13" x14ac:dyDescent="0.25">
      <c r="A638" s="510"/>
      <c r="B638" s="559">
        <v>42642</v>
      </c>
      <c r="C638" s="510">
        <v>414</v>
      </c>
      <c r="D638" s="511">
        <v>15.66</v>
      </c>
      <c r="E638" s="512">
        <v>0</v>
      </c>
      <c r="F638" s="512">
        <f t="shared" si="156"/>
        <v>6483.24</v>
      </c>
      <c r="G638" s="509">
        <v>42682</v>
      </c>
      <c r="H638" s="527">
        <v>1000</v>
      </c>
      <c r="I638" s="511">
        <v>14.28</v>
      </c>
      <c r="J638" s="512">
        <v>0.31</v>
      </c>
      <c r="K638" s="512">
        <f t="shared" si="155"/>
        <v>14279.69</v>
      </c>
      <c r="L638" s="510"/>
      <c r="M638" s="512"/>
    </row>
    <row r="639" spans="1:13" ht="30" x14ac:dyDescent="0.25">
      <c r="A639" s="613" t="s">
        <v>297</v>
      </c>
      <c r="B639" s="559">
        <v>42647</v>
      </c>
      <c r="C639" s="510">
        <v>500</v>
      </c>
      <c r="D639" s="511">
        <v>15.86</v>
      </c>
      <c r="E639" s="512">
        <v>0</v>
      </c>
      <c r="F639" s="512">
        <f t="shared" si="156"/>
        <v>7930</v>
      </c>
      <c r="G639" s="509">
        <v>42685</v>
      </c>
      <c r="H639" s="527">
        <v>500</v>
      </c>
      <c r="I639" s="511">
        <v>15.88</v>
      </c>
      <c r="J639" s="512">
        <v>0.17</v>
      </c>
      <c r="K639" s="512">
        <f t="shared" si="155"/>
        <v>7939.83</v>
      </c>
      <c r="L639" s="510"/>
      <c r="M639" s="512"/>
    </row>
    <row r="640" spans="1:13" x14ac:dyDescent="0.25">
      <c r="A640" s="613"/>
      <c r="B640" s="559">
        <v>42647</v>
      </c>
      <c r="C640" s="510">
        <v>500</v>
      </c>
      <c r="D640" s="511">
        <v>15.62</v>
      </c>
      <c r="E640" s="512">
        <v>0</v>
      </c>
      <c r="F640" s="512">
        <f t="shared" si="156"/>
        <v>7810</v>
      </c>
      <c r="G640" s="509">
        <v>42695</v>
      </c>
      <c r="H640" s="527">
        <v>2272</v>
      </c>
      <c r="I640" s="511">
        <v>16.28</v>
      </c>
      <c r="J640" s="512">
        <v>0.81</v>
      </c>
      <c r="K640" s="512">
        <f t="shared" si="155"/>
        <v>36987.350000000006</v>
      </c>
      <c r="L640" s="510"/>
      <c r="M640" s="512"/>
    </row>
    <row r="641" spans="1:13" x14ac:dyDescent="0.25">
      <c r="A641" s="613"/>
      <c r="B641" s="559">
        <v>42649</v>
      </c>
      <c r="C641" s="510">
        <v>500</v>
      </c>
      <c r="D641" s="511">
        <v>15.97</v>
      </c>
      <c r="E641" s="512">
        <v>0</v>
      </c>
      <c r="F641" s="512">
        <f t="shared" si="156"/>
        <v>7985</v>
      </c>
      <c r="G641" s="509">
        <v>42695</v>
      </c>
      <c r="H641" s="527">
        <v>500</v>
      </c>
      <c r="I641" s="511">
        <v>16.45</v>
      </c>
      <c r="J641" s="512">
        <v>0.18</v>
      </c>
      <c r="K641" s="512">
        <f t="shared" si="155"/>
        <v>8224.82</v>
      </c>
      <c r="L641" s="510"/>
      <c r="M641" s="512"/>
    </row>
    <row r="642" spans="1:13" x14ac:dyDescent="0.25">
      <c r="A642" s="613"/>
      <c r="B642" s="559">
        <v>42649</v>
      </c>
      <c r="C642" s="510">
        <v>500</v>
      </c>
      <c r="D642" s="511">
        <v>15.84</v>
      </c>
      <c r="E642" s="512">
        <v>0</v>
      </c>
      <c r="F642" s="512">
        <f t="shared" si="156"/>
        <v>7920</v>
      </c>
      <c r="G642" s="509">
        <v>42696</v>
      </c>
      <c r="H642" s="527">
        <v>500</v>
      </c>
      <c r="I642" s="511">
        <v>16.54</v>
      </c>
      <c r="J642" s="512">
        <v>0.18</v>
      </c>
      <c r="K642" s="512">
        <f t="shared" si="155"/>
        <v>8269.82</v>
      </c>
      <c r="L642" s="510"/>
      <c r="M642" s="512"/>
    </row>
    <row r="643" spans="1:13" x14ac:dyDescent="0.25">
      <c r="A643" s="510"/>
      <c r="B643" s="559">
        <v>42649</v>
      </c>
      <c r="C643" s="510">
        <v>500</v>
      </c>
      <c r="D643" s="511">
        <v>16.079999999999998</v>
      </c>
      <c r="E643" s="512">
        <v>0</v>
      </c>
      <c r="F643" s="512">
        <f t="shared" si="156"/>
        <v>8039.9999999999991</v>
      </c>
      <c r="G643" s="509">
        <v>42697</v>
      </c>
      <c r="H643" s="527">
        <v>200</v>
      </c>
      <c r="I643" s="511">
        <v>16.79</v>
      </c>
      <c r="J643" s="512">
        <v>7.0000000000000007E-2</v>
      </c>
      <c r="K643" s="512">
        <f t="shared" si="155"/>
        <v>3357.93</v>
      </c>
      <c r="L643" s="510"/>
      <c r="M643" s="512"/>
    </row>
    <row r="644" spans="1:13" x14ac:dyDescent="0.25">
      <c r="A644" s="510"/>
      <c r="B644" s="559">
        <v>42650</v>
      </c>
      <c r="C644" s="510">
        <v>300</v>
      </c>
      <c r="D644" s="511">
        <v>15.75</v>
      </c>
      <c r="E644" s="512">
        <v>0</v>
      </c>
      <c r="F644" s="512">
        <f t="shared" si="156"/>
        <v>4725</v>
      </c>
      <c r="G644" s="509">
        <v>42697</v>
      </c>
      <c r="H644" s="527">
        <v>500</v>
      </c>
      <c r="I644" s="511">
        <v>16.59</v>
      </c>
      <c r="J644" s="512">
        <v>0.18</v>
      </c>
      <c r="K644" s="512">
        <f t="shared" si="155"/>
        <v>8294.82</v>
      </c>
      <c r="L644" s="510"/>
      <c r="M644" s="512"/>
    </row>
    <row r="645" spans="1:13" x14ac:dyDescent="0.25">
      <c r="A645" s="510"/>
      <c r="B645" s="559">
        <v>42650</v>
      </c>
      <c r="C645" s="510">
        <v>300</v>
      </c>
      <c r="D645" s="511">
        <v>15.58</v>
      </c>
      <c r="E645" s="512">
        <v>0</v>
      </c>
      <c r="F645" s="512">
        <f t="shared" si="156"/>
        <v>4674</v>
      </c>
      <c r="G645" s="509">
        <v>42704</v>
      </c>
      <c r="H645" s="527">
        <v>1000</v>
      </c>
      <c r="I645" s="511">
        <v>16.420000000000002</v>
      </c>
      <c r="J645" s="512">
        <v>0.36</v>
      </c>
      <c r="K645" s="512">
        <f t="shared" si="155"/>
        <v>16419.64</v>
      </c>
      <c r="L645" s="510"/>
      <c r="M645" s="512"/>
    </row>
    <row r="646" spans="1:13" x14ac:dyDescent="0.25">
      <c r="A646" s="510"/>
      <c r="B646" s="559">
        <v>42653</v>
      </c>
      <c r="C646" s="510">
        <v>394</v>
      </c>
      <c r="D646" s="511">
        <v>15.72</v>
      </c>
      <c r="E646" s="512">
        <v>0</v>
      </c>
      <c r="F646" s="512">
        <f t="shared" si="156"/>
        <v>6193.68</v>
      </c>
      <c r="G646" s="509">
        <v>42704</v>
      </c>
      <c r="H646" s="527">
        <v>300</v>
      </c>
      <c r="I646" s="511">
        <v>16.78</v>
      </c>
      <c r="J646" s="512">
        <v>1.61</v>
      </c>
      <c r="K646" s="512">
        <f t="shared" si="155"/>
        <v>5032.3900000000003</v>
      </c>
      <c r="L646" s="510"/>
      <c r="M646" s="512"/>
    </row>
    <row r="647" spans="1:13" x14ac:dyDescent="0.25">
      <c r="A647" s="510"/>
      <c r="B647" s="559">
        <v>42653</v>
      </c>
      <c r="C647" s="510">
        <v>6</v>
      </c>
      <c r="D647" s="511">
        <v>15.72</v>
      </c>
      <c r="E647" s="512">
        <v>0</v>
      </c>
      <c r="F647" s="512">
        <f t="shared" si="156"/>
        <v>94.320000000000007</v>
      </c>
      <c r="G647" s="509">
        <v>42704</v>
      </c>
      <c r="H647" s="527">
        <v>1000</v>
      </c>
      <c r="I647" s="511">
        <v>17.079999999999998</v>
      </c>
      <c r="J647" s="512">
        <v>0.37</v>
      </c>
      <c r="K647" s="512">
        <f t="shared" si="155"/>
        <v>17079.63</v>
      </c>
      <c r="L647" s="510"/>
      <c r="M647" s="512"/>
    </row>
    <row r="648" spans="1:13" x14ac:dyDescent="0.25">
      <c r="A648" s="510"/>
      <c r="B648" s="559">
        <v>42655</v>
      </c>
      <c r="C648" s="510">
        <v>22</v>
      </c>
      <c r="D648" s="511">
        <v>15.48</v>
      </c>
      <c r="E648" s="512">
        <v>0</v>
      </c>
      <c r="F648" s="512">
        <f>C648*D648+E648</f>
        <v>340.56</v>
      </c>
      <c r="G648" s="509">
        <v>42704</v>
      </c>
      <c r="H648" s="527">
        <v>1000</v>
      </c>
      <c r="I648" s="511">
        <v>17.32</v>
      </c>
      <c r="J648" s="512">
        <v>0.38</v>
      </c>
      <c r="K648" s="512">
        <f t="shared" si="155"/>
        <v>17319.62</v>
      </c>
      <c r="L648" s="510"/>
      <c r="M648" s="512"/>
    </row>
    <row r="649" spans="1:13" x14ac:dyDescent="0.25">
      <c r="A649" s="510"/>
      <c r="B649" s="559">
        <v>42655</v>
      </c>
      <c r="C649" s="510">
        <v>300</v>
      </c>
      <c r="D649" s="511">
        <v>15.48</v>
      </c>
      <c r="E649" s="512">
        <v>0</v>
      </c>
      <c r="F649" s="512">
        <f>C649*D649+E649</f>
        <v>4644</v>
      </c>
      <c r="G649" s="509">
        <v>42704</v>
      </c>
      <c r="H649" s="527">
        <v>500</v>
      </c>
      <c r="I649" s="511">
        <v>17.64</v>
      </c>
      <c r="J649" s="512">
        <v>0.19</v>
      </c>
      <c r="K649" s="512">
        <f t="shared" si="155"/>
        <v>8819.81</v>
      </c>
      <c r="L649" s="510"/>
      <c r="M649" s="512"/>
    </row>
    <row r="650" spans="1:13" x14ac:dyDescent="0.25">
      <c r="A650" s="614"/>
      <c r="B650" s="559">
        <v>42668</v>
      </c>
      <c r="C650" s="510">
        <v>500</v>
      </c>
      <c r="D650" s="511">
        <v>14.26</v>
      </c>
      <c r="E650" s="512">
        <v>-2.5</v>
      </c>
      <c r="F650" s="512">
        <f t="shared" ref="F650:F659" si="157">C650*D650+E650</f>
        <v>7127.5</v>
      </c>
      <c r="G650" s="509">
        <v>42705</v>
      </c>
      <c r="H650" s="527">
        <v>528</v>
      </c>
      <c r="I650" s="511">
        <v>18.7</v>
      </c>
      <c r="J650" s="512">
        <v>0.22</v>
      </c>
      <c r="K650" s="512">
        <f t="shared" si="155"/>
        <v>9873.380000000001</v>
      </c>
      <c r="L650" s="510"/>
      <c r="M650" s="512"/>
    </row>
    <row r="651" spans="1:13" x14ac:dyDescent="0.25">
      <c r="A651" s="614"/>
      <c r="B651" s="559">
        <v>42668</v>
      </c>
      <c r="C651" s="510">
        <v>500</v>
      </c>
      <c r="D651" s="511">
        <v>14.16</v>
      </c>
      <c r="E651" s="512">
        <v>0</v>
      </c>
      <c r="F651" s="512">
        <f t="shared" si="157"/>
        <v>7080</v>
      </c>
      <c r="G651" s="509">
        <v>42711</v>
      </c>
      <c r="H651" s="527">
        <v>500</v>
      </c>
      <c r="I651" s="511">
        <v>18.329999999999998</v>
      </c>
      <c r="J651" s="512">
        <v>0.2</v>
      </c>
      <c r="K651" s="512">
        <f t="shared" si="155"/>
        <v>9164.7999999999993</v>
      </c>
      <c r="L651" s="510"/>
      <c r="M651" s="512"/>
    </row>
    <row r="652" spans="1:13" x14ac:dyDescent="0.25">
      <c r="A652" s="614"/>
      <c r="B652" s="559">
        <v>42670</v>
      </c>
      <c r="C652" s="510">
        <v>500</v>
      </c>
      <c r="D652" s="511">
        <v>14.18</v>
      </c>
      <c r="E652" s="512">
        <v>0</v>
      </c>
      <c r="F652" s="512">
        <f t="shared" si="157"/>
        <v>7090</v>
      </c>
      <c r="G652" s="509">
        <v>42713</v>
      </c>
      <c r="H652" s="527">
        <v>500</v>
      </c>
      <c r="I652" s="511">
        <v>18.28</v>
      </c>
      <c r="J652" s="512">
        <v>0.2</v>
      </c>
      <c r="K652" s="512">
        <f t="shared" si="155"/>
        <v>9139.7999999999993</v>
      </c>
      <c r="L652" s="510"/>
      <c r="M652" s="512"/>
    </row>
    <row r="653" spans="1:13" x14ac:dyDescent="0.25">
      <c r="A653" s="614"/>
      <c r="B653" s="559">
        <v>42670</v>
      </c>
      <c r="C653" s="510">
        <v>500</v>
      </c>
      <c r="D653" s="511">
        <v>14.05</v>
      </c>
      <c r="E653" s="512">
        <v>0</v>
      </c>
      <c r="F653" s="512">
        <f t="shared" si="157"/>
        <v>7025</v>
      </c>
      <c r="G653" s="509">
        <v>42718</v>
      </c>
      <c r="H653" s="527">
        <v>200</v>
      </c>
      <c r="I653" s="511">
        <v>18.78</v>
      </c>
      <c r="J653" s="512">
        <v>0.08</v>
      </c>
      <c r="K653" s="512">
        <f t="shared" si="155"/>
        <v>3755.92</v>
      </c>
      <c r="L653" s="510"/>
      <c r="M653" s="512"/>
    </row>
    <row r="654" spans="1:13" x14ac:dyDescent="0.25">
      <c r="A654" s="614"/>
      <c r="B654" s="559">
        <v>42670</v>
      </c>
      <c r="C654" s="510">
        <v>500</v>
      </c>
      <c r="D654" s="511">
        <v>13.88</v>
      </c>
      <c r="E654" s="512">
        <v>0</v>
      </c>
      <c r="F654" s="512">
        <f t="shared" si="157"/>
        <v>6940</v>
      </c>
      <c r="G654" s="509">
        <v>42734</v>
      </c>
      <c r="H654" s="527">
        <v>1000</v>
      </c>
      <c r="I654" s="511">
        <v>17.72</v>
      </c>
      <c r="J654" s="512">
        <v>0.39</v>
      </c>
      <c r="K654" s="512">
        <f t="shared" si="155"/>
        <v>17719.61</v>
      </c>
      <c r="L654" s="510"/>
      <c r="M654" s="512"/>
    </row>
    <row r="655" spans="1:13" x14ac:dyDescent="0.25">
      <c r="A655" s="510"/>
      <c r="B655" s="559">
        <v>42671</v>
      </c>
      <c r="C655" s="510">
        <v>1000</v>
      </c>
      <c r="D655" s="511">
        <v>14.15</v>
      </c>
      <c r="E655" s="512">
        <v>0</v>
      </c>
      <c r="F655" s="512">
        <f t="shared" si="157"/>
        <v>14150</v>
      </c>
      <c r="G655" s="509">
        <v>42739</v>
      </c>
      <c r="H655" s="527">
        <v>500</v>
      </c>
      <c r="I655" s="511">
        <v>18.079999999999998</v>
      </c>
      <c r="J655" s="512">
        <v>0.2</v>
      </c>
      <c r="K655" s="512">
        <f t="shared" si="155"/>
        <v>9039.7999999999993</v>
      </c>
      <c r="L655" s="510"/>
      <c r="M655" s="512"/>
    </row>
    <row r="656" spans="1:13" x14ac:dyDescent="0.25">
      <c r="A656" s="510"/>
      <c r="B656" s="559">
        <v>42674</v>
      </c>
      <c r="C656" s="510">
        <v>300</v>
      </c>
      <c r="D656" s="511">
        <v>13.28</v>
      </c>
      <c r="E656" s="512">
        <v>-1.5</v>
      </c>
      <c r="F656" s="512">
        <f t="shared" si="157"/>
        <v>3982.5</v>
      </c>
      <c r="G656" s="509">
        <v>42748</v>
      </c>
      <c r="H656" s="527">
        <v>500</v>
      </c>
      <c r="I656" s="511">
        <v>17.48</v>
      </c>
      <c r="J656" s="512">
        <v>0.19</v>
      </c>
      <c r="K656" s="512">
        <f t="shared" si="155"/>
        <v>8739.81</v>
      </c>
      <c r="L656" s="510"/>
      <c r="M656" s="512"/>
    </row>
    <row r="657" spans="1:13" x14ac:dyDescent="0.25">
      <c r="A657" s="510"/>
      <c r="B657" s="559">
        <v>42674</v>
      </c>
      <c r="C657" s="510">
        <v>200</v>
      </c>
      <c r="D657" s="511">
        <v>13.15</v>
      </c>
      <c r="E657" s="512">
        <v>0.02</v>
      </c>
      <c r="F657" s="512">
        <f t="shared" si="157"/>
        <v>2630.02</v>
      </c>
      <c r="G657" s="509">
        <v>42761</v>
      </c>
      <c r="H657" s="527">
        <v>1000</v>
      </c>
      <c r="I657" s="511">
        <v>17.899999999999999</v>
      </c>
      <c r="J657" s="512">
        <v>0.39</v>
      </c>
      <c r="K657" s="512">
        <f t="shared" si="155"/>
        <v>17899.61</v>
      </c>
      <c r="L657" s="510"/>
      <c r="M657" s="512"/>
    </row>
    <row r="658" spans="1:13" x14ac:dyDescent="0.25">
      <c r="A658" s="510"/>
      <c r="B658" s="559">
        <v>42676</v>
      </c>
      <c r="C658" s="510">
        <v>200</v>
      </c>
      <c r="D658" s="511">
        <v>12.89</v>
      </c>
      <c r="E658" s="512">
        <v>0</v>
      </c>
      <c r="F658" s="512">
        <f t="shared" si="157"/>
        <v>2578</v>
      </c>
      <c r="G658" s="509">
        <v>42766</v>
      </c>
      <c r="H658" s="527">
        <v>300</v>
      </c>
      <c r="I658" s="511">
        <v>16.649999999999999</v>
      </c>
      <c r="J658" s="512">
        <v>0.11</v>
      </c>
      <c r="K658" s="512">
        <f t="shared" si="155"/>
        <v>4994.8900000000003</v>
      </c>
      <c r="L658" s="510"/>
      <c r="M658" s="512"/>
    </row>
    <row r="659" spans="1:13" x14ac:dyDescent="0.25">
      <c r="A659" s="510"/>
      <c r="B659" s="559">
        <v>42678</v>
      </c>
      <c r="C659" s="510">
        <v>500</v>
      </c>
      <c r="D659" s="511">
        <v>13.69</v>
      </c>
      <c r="E659" s="512">
        <v>0</v>
      </c>
      <c r="F659" s="512">
        <f t="shared" si="157"/>
        <v>6845</v>
      </c>
      <c r="G659" s="509">
        <v>42767</v>
      </c>
      <c r="H659" s="527">
        <v>612</v>
      </c>
      <c r="I659" s="511">
        <v>17.03</v>
      </c>
      <c r="J659" s="512">
        <v>0.23</v>
      </c>
      <c r="K659" s="512">
        <f t="shared" si="155"/>
        <v>10422.130000000001</v>
      </c>
      <c r="L659" s="510"/>
      <c r="M659" s="512"/>
    </row>
    <row r="660" spans="1:13" x14ac:dyDescent="0.25">
      <c r="A660" s="510"/>
      <c r="B660" s="559">
        <v>42678</v>
      </c>
      <c r="C660" s="510">
        <v>500</v>
      </c>
      <c r="D660" s="511">
        <v>13.69</v>
      </c>
      <c r="E660" s="512">
        <v>0</v>
      </c>
      <c r="F660" s="512">
        <f>C660*D660+E660</f>
        <v>6845</v>
      </c>
      <c r="G660" s="509">
        <v>42767</v>
      </c>
      <c r="H660" s="527">
        <v>288</v>
      </c>
      <c r="I660" s="511">
        <v>17.12</v>
      </c>
      <c r="J660" s="512">
        <v>0.11</v>
      </c>
      <c r="K660" s="512">
        <f t="shared" si="155"/>
        <v>4930.4500000000007</v>
      </c>
      <c r="L660" s="510"/>
      <c r="M660" s="512"/>
    </row>
    <row r="661" spans="1:13" x14ac:dyDescent="0.25">
      <c r="A661" s="510"/>
      <c r="B661" s="559">
        <v>42691</v>
      </c>
      <c r="C661" s="510">
        <v>150</v>
      </c>
      <c r="D661" s="511">
        <v>15.48</v>
      </c>
      <c r="E661" s="512">
        <v>0</v>
      </c>
      <c r="F661" s="512">
        <f t="shared" ref="F661:F677" si="158">C661*D661+E661</f>
        <v>2322</v>
      </c>
      <c r="G661" s="509">
        <v>42767</v>
      </c>
      <c r="H661" s="527">
        <v>700</v>
      </c>
      <c r="I661" s="511">
        <v>16.57</v>
      </c>
      <c r="J661" s="512">
        <v>0.25</v>
      </c>
      <c r="K661" s="512">
        <f t="shared" si="155"/>
        <v>11598.75</v>
      </c>
      <c r="L661" s="510"/>
      <c r="M661" s="512"/>
    </row>
    <row r="662" spans="1:13" x14ac:dyDescent="0.25">
      <c r="A662" s="510"/>
      <c r="B662" s="559">
        <v>42691</v>
      </c>
      <c r="C662" s="510">
        <v>300</v>
      </c>
      <c r="D662" s="511">
        <v>15.48</v>
      </c>
      <c r="E662" s="512">
        <v>0</v>
      </c>
      <c r="F662" s="512">
        <f t="shared" si="158"/>
        <v>4644</v>
      </c>
      <c r="G662" s="509">
        <v>42768</v>
      </c>
      <c r="H662" s="527">
        <v>200</v>
      </c>
      <c r="I662" s="511">
        <v>16.7</v>
      </c>
      <c r="J662" s="512">
        <v>7.0000000000000007E-2</v>
      </c>
      <c r="K662" s="512">
        <f t="shared" si="155"/>
        <v>3339.93</v>
      </c>
      <c r="L662" s="510"/>
      <c r="M662" s="512"/>
    </row>
    <row r="663" spans="1:13" x14ac:dyDescent="0.25">
      <c r="A663" s="510"/>
      <c r="B663" s="559">
        <v>42696</v>
      </c>
      <c r="C663" s="510">
        <v>1000</v>
      </c>
      <c r="D663" s="511">
        <v>16.12</v>
      </c>
      <c r="E663" s="512">
        <v>0</v>
      </c>
      <c r="F663" s="512">
        <f t="shared" si="158"/>
        <v>16120.000000000002</v>
      </c>
      <c r="G663" s="509">
        <v>42768</v>
      </c>
      <c r="H663" s="527">
        <v>500</v>
      </c>
      <c r="I663" s="511">
        <v>16.600000000000001</v>
      </c>
      <c r="J663" s="512">
        <v>-1.82</v>
      </c>
      <c r="K663" s="512">
        <f t="shared" si="155"/>
        <v>8301.82</v>
      </c>
      <c r="L663" s="510"/>
      <c r="M663" s="512"/>
    </row>
    <row r="664" spans="1:13" x14ac:dyDescent="0.25">
      <c r="A664" s="510"/>
      <c r="B664" s="559">
        <v>42699</v>
      </c>
      <c r="C664" s="510">
        <v>200</v>
      </c>
      <c r="D664" s="511">
        <v>16.28</v>
      </c>
      <c r="E664" s="512">
        <v>0</v>
      </c>
      <c r="F664" s="512">
        <f t="shared" si="158"/>
        <v>3256</v>
      </c>
      <c r="G664" s="509">
        <v>42768</v>
      </c>
      <c r="H664" s="527">
        <v>500</v>
      </c>
      <c r="I664" s="511">
        <v>16.75</v>
      </c>
      <c r="J664" s="512">
        <v>0.18</v>
      </c>
      <c r="K664" s="512">
        <f t="shared" si="155"/>
        <v>8374.82</v>
      </c>
      <c r="L664" s="510"/>
      <c r="M664" s="512"/>
    </row>
    <row r="665" spans="1:13" x14ac:dyDescent="0.25">
      <c r="A665" s="614"/>
      <c r="B665" s="559">
        <v>42699</v>
      </c>
      <c r="C665" s="510">
        <v>500</v>
      </c>
      <c r="D665" s="511">
        <v>16.16</v>
      </c>
      <c r="E665" s="512">
        <v>0</v>
      </c>
      <c r="F665" s="512">
        <f t="shared" si="158"/>
        <v>8080</v>
      </c>
      <c r="G665" s="509">
        <v>42769</v>
      </c>
      <c r="H665" s="615">
        <v>400</v>
      </c>
      <c r="I665" s="616">
        <v>16.95</v>
      </c>
      <c r="J665" s="617">
        <v>0.15</v>
      </c>
      <c r="K665" s="617">
        <f t="shared" si="155"/>
        <v>6779.85</v>
      </c>
      <c r="L665" s="510"/>
      <c r="M665" s="512"/>
    </row>
    <row r="666" spans="1:13" x14ac:dyDescent="0.25">
      <c r="A666" s="614"/>
      <c r="B666" s="559">
        <v>42702</v>
      </c>
      <c r="C666" s="510">
        <v>500</v>
      </c>
      <c r="D666" s="511">
        <v>16.059999999999999</v>
      </c>
      <c r="E666" s="512">
        <v>0</v>
      </c>
      <c r="F666" s="512">
        <f t="shared" si="158"/>
        <v>8029.9999999999991</v>
      </c>
      <c r="G666" s="509">
        <v>42769</v>
      </c>
      <c r="H666" s="615">
        <v>300</v>
      </c>
      <c r="I666" s="616">
        <v>17.32</v>
      </c>
      <c r="J666" s="617">
        <v>0.11</v>
      </c>
      <c r="K666" s="617">
        <f t="shared" si="155"/>
        <v>5195.8900000000003</v>
      </c>
      <c r="L666" s="510"/>
      <c r="M666" s="512"/>
    </row>
    <row r="667" spans="1:13" x14ac:dyDescent="0.25">
      <c r="A667" s="614"/>
      <c r="B667" s="559">
        <v>42702</v>
      </c>
      <c r="C667" s="510">
        <v>200</v>
      </c>
      <c r="D667" s="511">
        <v>15.8</v>
      </c>
      <c r="E667" s="512">
        <v>0</v>
      </c>
      <c r="F667" s="512">
        <f t="shared" si="158"/>
        <v>3160</v>
      </c>
      <c r="G667" s="509">
        <v>42781</v>
      </c>
      <c r="H667" s="527">
        <v>600</v>
      </c>
      <c r="I667" s="511">
        <v>16.52</v>
      </c>
      <c r="J667" s="512">
        <v>0.22</v>
      </c>
      <c r="K667" s="512">
        <f t="shared" si="155"/>
        <v>9911.7800000000007</v>
      </c>
      <c r="L667" s="510"/>
      <c r="M667" s="512"/>
    </row>
    <row r="668" spans="1:13" x14ac:dyDescent="0.25">
      <c r="A668" s="614"/>
      <c r="B668" s="559">
        <v>42702</v>
      </c>
      <c r="C668" s="510">
        <v>300</v>
      </c>
      <c r="D668" s="511">
        <v>15.65</v>
      </c>
      <c r="E668" s="512">
        <v>0</v>
      </c>
      <c r="F668" s="512">
        <f t="shared" si="158"/>
        <v>4695</v>
      </c>
      <c r="G668" s="509">
        <v>42781</v>
      </c>
      <c r="H668" s="527">
        <v>300</v>
      </c>
      <c r="I668" s="511">
        <v>16.440000000000001</v>
      </c>
      <c r="J668" s="512">
        <v>0.11</v>
      </c>
      <c r="K668" s="512">
        <f t="shared" si="155"/>
        <v>4931.8900000000003</v>
      </c>
      <c r="L668" s="510"/>
      <c r="M668" s="512"/>
    </row>
    <row r="669" spans="1:13" x14ac:dyDescent="0.25">
      <c r="A669" s="510"/>
      <c r="B669" s="559">
        <v>42703</v>
      </c>
      <c r="C669" s="510">
        <v>300</v>
      </c>
      <c r="D669" s="511">
        <v>14.78</v>
      </c>
      <c r="E669" s="512">
        <v>0</v>
      </c>
      <c r="F669" s="512">
        <f t="shared" si="158"/>
        <v>4434</v>
      </c>
      <c r="G669" s="509">
        <v>42782</v>
      </c>
      <c r="H669" s="527">
        <v>300</v>
      </c>
      <c r="I669" s="511">
        <v>17</v>
      </c>
      <c r="J669" s="512">
        <v>0.11</v>
      </c>
      <c r="K669" s="512">
        <f t="shared" si="155"/>
        <v>5099.8900000000003</v>
      </c>
      <c r="L669" s="510"/>
      <c r="M669" s="512"/>
    </row>
    <row r="670" spans="1:13" x14ac:dyDescent="0.25">
      <c r="A670" s="510"/>
      <c r="B670" s="559">
        <v>42705</v>
      </c>
      <c r="C670" s="510">
        <v>350</v>
      </c>
      <c r="D670" s="511">
        <v>17.600000000000001</v>
      </c>
      <c r="E670" s="512">
        <v>0</v>
      </c>
      <c r="F670" s="512">
        <f t="shared" si="158"/>
        <v>6160.0000000000009</v>
      </c>
      <c r="G670" s="510"/>
      <c r="H670" s="527"/>
      <c r="I670" s="511"/>
      <c r="J670" s="512"/>
      <c r="K670" s="512"/>
      <c r="L670" s="510"/>
      <c r="M670" s="512"/>
    </row>
    <row r="671" spans="1:13" x14ac:dyDescent="0.25">
      <c r="A671" s="510"/>
      <c r="B671" s="559">
        <v>42711</v>
      </c>
      <c r="C671" s="510">
        <v>500</v>
      </c>
      <c r="D671" s="511">
        <v>18.12</v>
      </c>
      <c r="E671" s="512">
        <v>0</v>
      </c>
      <c r="F671" s="512">
        <f t="shared" si="158"/>
        <v>9060</v>
      </c>
      <c r="G671" s="510"/>
      <c r="H671" s="527"/>
      <c r="I671" s="511"/>
      <c r="J671" s="512"/>
      <c r="K671" s="512"/>
      <c r="L671" s="510"/>
      <c r="M671" s="512"/>
    </row>
    <row r="672" spans="1:13" x14ac:dyDescent="0.25">
      <c r="A672" s="510"/>
      <c r="B672" s="559">
        <v>42713</v>
      </c>
      <c r="C672" s="510">
        <v>500</v>
      </c>
      <c r="D672" s="511">
        <v>18.12</v>
      </c>
      <c r="E672" s="512">
        <v>0</v>
      </c>
      <c r="F672" s="512">
        <f t="shared" si="158"/>
        <v>9060</v>
      </c>
      <c r="G672" s="510"/>
      <c r="H672" s="527"/>
      <c r="I672" s="511"/>
      <c r="J672" s="512"/>
      <c r="K672" s="512"/>
      <c r="L672" s="510"/>
      <c r="M672" s="512"/>
    </row>
    <row r="673" spans="1:13" x14ac:dyDescent="0.25">
      <c r="A673" s="510"/>
      <c r="B673" s="559">
        <v>42718</v>
      </c>
      <c r="C673" s="510">
        <v>200</v>
      </c>
      <c r="D673" s="511">
        <v>18.73</v>
      </c>
      <c r="E673" s="512">
        <v>-1</v>
      </c>
      <c r="F673" s="512">
        <f t="shared" si="158"/>
        <v>3745</v>
      </c>
      <c r="G673" s="510"/>
      <c r="H673" s="527"/>
      <c r="I673" s="511"/>
      <c r="J673" s="512"/>
      <c r="K673" s="512"/>
      <c r="L673" s="510"/>
      <c r="M673" s="512"/>
    </row>
    <row r="674" spans="1:13" x14ac:dyDescent="0.25">
      <c r="A674" s="510"/>
      <c r="B674" s="559">
        <v>42733</v>
      </c>
      <c r="C674" s="510">
        <v>1000</v>
      </c>
      <c r="D674" s="511">
        <v>17.64</v>
      </c>
      <c r="E674" s="512">
        <v>-1.5</v>
      </c>
      <c r="F674" s="512">
        <f t="shared" si="158"/>
        <v>17638.5</v>
      </c>
      <c r="G674" s="510"/>
      <c r="H674" s="527"/>
      <c r="I674" s="511"/>
      <c r="J674" s="512"/>
      <c r="K674" s="512"/>
      <c r="L674" s="510"/>
      <c r="M674" s="512"/>
    </row>
    <row r="675" spans="1:13" x14ac:dyDescent="0.25">
      <c r="A675" s="510"/>
      <c r="B675" s="559">
        <v>42734</v>
      </c>
      <c r="C675" s="510">
        <v>1000</v>
      </c>
      <c r="D675" s="511">
        <v>17.329999999999998</v>
      </c>
      <c r="E675" s="512">
        <v>0</v>
      </c>
      <c r="F675" s="512">
        <f t="shared" si="158"/>
        <v>17330</v>
      </c>
      <c r="G675" s="510"/>
      <c r="H675" s="527"/>
      <c r="I675" s="511"/>
      <c r="J675" s="512"/>
      <c r="K675" s="512"/>
      <c r="L675" s="510"/>
      <c r="M675" s="512"/>
    </row>
    <row r="676" spans="1:13" x14ac:dyDescent="0.25">
      <c r="A676" s="510"/>
      <c r="B676" s="559">
        <v>42741</v>
      </c>
      <c r="C676" s="510">
        <v>500</v>
      </c>
      <c r="D676" s="511">
        <v>17.88</v>
      </c>
      <c r="E676" s="512">
        <v>0</v>
      </c>
      <c r="F676" s="512">
        <f t="shared" si="158"/>
        <v>8940</v>
      </c>
      <c r="G676" s="510"/>
      <c r="H676" s="527"/>
      <c r="I676" s="511"/>
      <c r="J676" s="512"/>
      <c r="K676" s="512"/>
      <c r="L676" s="510"/>
      <c r="M676" s="512"/>
    </row>
    <row r="677" spans="1:13" x14ac:dyDescent="0.25">
      <c r="A677" s="510"/>
      <c r="B677" s="559">
        <v>42748</v>
      </c>
      <c r="C677" s="510">
        <v>500</v>
      </c>
      <c r="D677" s="511">
        <v>17.260000000000002</v>
      </c>
      <c r="E677" s="512">
        <v>0</v>
      </c>
      <c r="F677" s="512">
        <f t="shared" si="158"/>
        <v>8630</v>
      </c>
      <c r="G677" s="510"/>
      <c r="H677" s="527"/>
      <c r="I677" s="511"/>
      <c r="J677" s="512"/>
      <c r="K677" s="512"/>
      <c r="L677" s="510"/>
      <c r="M677" s="512"/>
    </row>
    <row r="678" spans="1:13" x14ac:dyDescent="0.25">
      <c r="A678" s="510"/>
      <c r="B678" s="559"/>
      <c r="C678" s="510"/>
      <c r="D678" s="511"/>
      <c r="E678" s="512"/>
      <c r="F678" s="512"/>
      <c r="G678" s="510"/>
      <c r="H678" s="527"/>
      <c r="I678" s="511"/>
      <c r="J678" s="512"/>
      <c r="K678" s="512"/>
      <c r="L678" s="510"/>
      <c r="M678" s="512"/>
    </row>
    <row r="679" spans="1:13" x14ac:dyDescent="0.25">
      <c r="A679" s="510"/>
      <c r="B679" s="559"/>
      <c r="C679" s="510"/>
      <c r="D679" s="511"/>
      <c r="E679" s="512"/>
      <c r="F679" s="512"/>
      <c r="G679" s="510"/>
      <c r="H679" s="527"/>
      <c r="I679" s="511"/>
      <c r="J679" s="512"/>
      <c r="K679" s="512"/>
      <c r="L679" s="510"/>
      <c r="M679" s="512"/>
    </row>
    <row r="680" spans="1:13" x14ac:dyDescent="0.25">
      <c r="A680" s="613"/>
      <c r="B680" s="559"/>
      <c r="C680" s="510"/>
      <c r="D680" s="511"/>
      <c r="E680" s="512"/>
      <c r="F680" s="512"/>
      <c r="G680" s="510"/>
      <c r="H680" s="527"/>
      <c r="I680" s="511"/>
      <c r="J680" s="512"/>
      <c r="K680" s="512"/>
      <c r="L680" s="510"/>
      <c r="M680" s="512"/>
    </row>
    <row r="681" spans="1:13" x14ac:dyDescent="0.25">
      <c r="A681" s="613"/>
      <c r="B681" s="559"/>
      <c r="C681" s="510"/>
      <c r="D681" s="511"/>
      <c r="E681" s="512"/>
      <c r="F681" s="512"/>
      <c r="G681" s="510"/>
      <c r="H681" s="527"/>
      <c r="I681" s="511"/>
      <c r="J681" s="512"/>
      <c r="K681" s="512"/>
      <c r="L681" s="510"/>
      <c r="M681" s="512"/>
    </row>
    <row r="682" spans="1:13" x14ac:dyDescent="0.25">
      <c r="A682" s="613"/>
      <c r="B682" s="559"/>
      <c r="C682" s="510"/>
      <c r="D682" s="511"/>
      <c r="E682" s="512"/>
      <c r="F682" s="512"/>
      <c r="G682" s="510"/>
      <c r="H682" s="527"/>
      <c r="I682" s="511"/>
      <c r="J682" s="512"/>
      <c r="K682" s="512"/>
      <c r="L682" s="510"/>
      <c r="M682" s="512"/>
    </row>
    <row r="683" spans="1:13" x14ac:dyDescent="0.25">
      <c r="A683" s="613"/>
      <c r="B683" s="559"/>
      <c r="C683" s="510"/>
      <c r="D683" s="511"/>
      <c r="E683" s="512"/>
      <c r="F683" s="512"/>
      <c r="G683" s="510"/>
      <c r="H683" s="527"/>
      <c r="I683" s="511"/>
      <c r="J683" s="512"/>
      <c r="K683" s="512"/>
      <c r="L683" s="510"/>
      <c r="M683" s="512"/>
    </row>
    <row r="684" spans="1:13" x14ac:dyDescent="0.25">
      <c r="A684" s="510"/>
      <c r="B684" s="559"/>
      <c r="C684" s="510"/>
      <c r="D684" s="511"/>
      <c r="E684" s="512"/>
      <c r="F684" s="512"/>
      <c r="G684" s="510"/>
      <c r="H684" s="527"/>
      <c r="I684" s="511"/>
      <c r="J684" s="512"/>
      <c r="K684" s="512"/>
      <c r="L684" s="510"/>
      <c r="M684" s="512"/>
    </row>
    <row r="685" spans="1:13" x14ac:dyDescent="0.25">
      <c r="A685" s="510"/>
      <c r="B685" s="559"/>
      <c r="C685" s="510"/>
      <c r="D685" s="511"/>
      <c r="E685" s="512"/>
      <c r="F685" s="512"/>
      <c r="G685" s="510"/>
      <c r="H685" s="527"/>
      <c r="I685" s="511"/>
      <c r="J685" s="512"/>
      <c r="K685" s="512"/>
      <c r="L685" s="510"/>
      <c r="M685" s="512"/>
    </row>
    <row r="686" spans="1:13" x14ac:dyDescent="0.25">
      <c r="A686" s="510"/>
      <c r="B686" s="559"/>
      <c r="C686" s="510"/>
      <c r="D686" s="511"/>
      <c r="E686" s="512"/>
      <c r="F686" s="512"/>
      <c r="G686" s="510"/>
      <c r="H686" s="527"/>
      <c r="I686" s="511"/>
      <c r="J686" s="512"/>
      <c r="K686" s="512"/>
      <c r="L686" s="510"/>
      <c r="M686" s="512"/>
    </row>
    <row r="687" spans="1:13" x14ac:dyDescent="0.25">
      <c r="A687" s="510"/>
      <c r="B687" s="559"/>
      <c r="C687" s="510"/>
      <c r="D687" s="511"/>
      <c r="E687" s="512"/>
      <c r="F687" s="512"/>
      <c r="G687" s="510"/>
      <c r="H687" s="527"/>
      <c r="I687" s="511"/>
      <c r="J687" s="512"/>
      <c r="K687" s="512"/>
      <c r="L687" s="510"/>
      <c r="M687" s="512"/>
    </row>
    <row r="688" spans="1:13" x14ac:dyDescent="0.25">
      <c r="A688" s="510"/>
      <c r="B688" s="559"/>
      <c r="C688" s="510"/>
      <c r="D688" s="511"/>
      <c r="E688" s="512"/>
      <c r="F688" s="512"/>
      <c r="G688" s="510"/>
      <c r="H688" s="527"/>
      <c r="I688" s="511"/>
      <c r="J688" s="512"/>
      <c r="K688" s="512"/>
      <c r="L688" s="510"/>
      <c r="M688" s="512"/>
    </row>
    <row r="689" spans="1:13" x14ac:dyDescent="0.25">
      <c r="A689" s="510"/>
      <c r="B689" s="559"/>
      <c r="C689" s="510"/>
      <c r="D689" s="511"/>
      <c r="E689" s="512"/>
      <c r="F689" s="512"/>
      <c r="G689" s="510"/>
      <c r="H689" s="527"/>
      <c r="I689" s="511"/>
      <c r="J689" s="512"/>
      <c r="K689" s="512"/>
      <c r="L689" s="510"/>
      <c r="M689" s="512"/>
    </row>
    <row r="690" spans="1:13" x14ac:dyDescent="0.25">
      <c r="A690" s="510"/>
      <c r="B690" s="559"/>
      <c r="C690" s="510"/>
      <c r="D690" s="511"/>
      <c r="E690" s="512"/>
      <c r="F690" s="512"/>
      <c r="G690" s="510"/>
      <c r="H690" s="527"/>
      <c r="I690" s="511"/>
      <c r="J690" s="512"/>
      <c r="K690" s="512"/>
      <c r="L690" s="510"/>
      <c r="M690" s="512"/>
    </row>
    <row r="691" spans="1:13" x14ac:dyDescent="0.25">
      <c r="A691" s="510"/>
      <c r="B691" s="559"/>
      <c r="C691" s="510"/>
      <c r="D691" s="511"/>
      <c r="E691" s="512"/>
      <c r="F691" s="512"/>
      <c r="G691" s="510"/>
      <c r="H691" s="527"/>
      <c r="I691" s="511"/>
      <c r="J691" s="512"/>
      <c r="K691" s="512"/>
      <c r="L691" s="510"/>
      <c r="M691" s="512"/>
    </row>
    <row r="692" spans="1:13" x14ac:dyDescent="0.25">
      <c r="A692" s="510"/>
      <c r="B692" s="559"/>
      <c r="C692" s="510"/>
      <c r="D692" s="511"/>
      <c r="E692" s="512"/>
      <c r="F692" s="512"/>
      <c r="G692" s="510"/>
      <c r="H692" s="527"/>
      <c r="I692" s="511"/>
      <c r="J692" s="512"/>
      <c r="K692" s="512"/>
      <c r="L692" s="510"/>
      <c r="M692" s="512"/>
    </row>
    <row r="693" spans="1:13" x14ac:dyDescent="0.25">
      <c r="A693" s="510"/>
      <c r="B693" s="559"/>
      <c r="C693" s="510"/>
      <c r="D693" s="511"/>
      <c r="E693" s="512"/>
      <c r="F693" s="512"/>
      <c r="G693" s="510"/>
      <c r="H693" s="527"/>
      <c r="I693" s="511"/>
      <c r="J693" s="512"/>
      <c r="K693" s="512"/>
      <c r="L693" s="510"/>
      <c r="M693" s="512"/>
    </row>
    <row r="694" spans="1:13" x14ac:dyDescent="0.25">
      <c r="A694" s="510"/>
      <c r="B694" s="559"/>
      <c r="C694" s="510"/>
      <c r="D694" s="511"/>
      <c r="E694" s="512"/>
      <c r="F694" s="512"/>
      <c r="G694" s="510"/>
      <c r="H694" s="527"/>
      <c r="I694" s="511"/>
      <c r="J694" s="512"/>
      <c r="K694" s="512"/>
      <c r="L694" s="510"/>
      <c r="M694" s="512"/>
    </row>
    <row r="695" spans="1:13" x14ac:dyDescent="0.25">
      <c r="A695" s="510"/>
      <c r="B695" s="559"/>
      <c r="C695" s="510"/>
      <c r="D695" s="511"/>
      <c r="E695" s="512"/>
      <c r="F695" s="512"/>
      <c r="G695" s="510"/>
      <c r="H695" s="527"/>
      <c r="I695" s="511"/>
      <c r="J695" s="512"/>
      <c r="K695" s="512"/>
      <c r="L695" s="510"/>
      <c r="M695" s="512"/>
    </row>
    <row r="696" spans="1:13" x14ac:dyDescent="0.25">
      <c r="A696" s="510"/>
      <c r="B696" s="559"/>
      <c r="C696" s="510"/>
      <c r="D696" s="511"/>
      <c r="E696" s="512"/>
      <c r="F696" s="512"/>
      <c r="G696" s="510"/>
      <c r="H696" s="527"/>
      <c r="I696" s="511"/>
      <c r="J696" s="512"/>
      <c r="K696" s="512"/>
      <c r="L696" s="510"/>
      <c r="M696" s="512"/>
    </row>
    <row r="697" spans="1:13" x14ac:dyDescent="0.25">
      <c r="A697" s="510"/>
      <c r="B697" s="559"/>
      <c r="C697" s="510"/>
      <c r="D697" s="511"/>
      <c r="E697" s="512"/>
      <c r="F697" s="512"/>
      <c r="G697" s="510"/>
      <c r="H697" s="527"/>
      <c r="I697" s="511"/>
      <c r="J697" s="512"/>
      <c r="K697" s="512"/>
      <c r="L697" s="510"/>
      <c r="M697" s="512"/>
    </row>
    <row r="698" spans="1:13" x14ac:dyDescent="0.25">
      <c r="A698" s="510"/>
      <c r="B698" s="559"/>
      <c r="C698" s="510"/>
      <c r="D698" s="511"/>
      <c r="E698" s="512"/>
      <c r="F698" s="512"/>
      <c r="G698" s="510"/>
      <c r="H698" s="527"/>
      <c r="I698" s="511"/>
      <c r="J698" s="512"/>
      <c r="K698" s="512"/>
      <c r="L698" s="510"/>
      <c r="M698" s="512"/>
    </row>
    <row r="699" spans="1:13" x14ac:dyDescent="0.25">
      <c r="A699" s="510"/>
      <c r="B699" s="559"/>
      <c r="C699" s="510"/>
      <c r="D699" s="511"/>
      <c r="E699" s="512"/>
      <c r="F699" s="512"/>
      <c r="G699" s="510"/>
      <c r="H699" s="527"/>
      <c r="I699" s="511"/>
      <c r="J699" s="512"/>
      <c r="K699" s="512"/>
      <c r="L699" s="510"/>
      <c r="M699" s="512"/>
    </row>
    <row r="700" spans="1:13" x14ac:dyDescent="0.25">
      <c r="A700" s="510"/>
      <c r="B700" s="559"/>
      <c r="C700" s="510"/>
      <c r="D700" s="511"/>
      <c r="E700" s="512"/>
      <c r="F700" s="512"/>
      <c r="G700" s="510"/>
      <c r="H700" s="527"/>
      <c r="I700" s="511"/>
      <c r="J700" s="512"/>
      <c r="K700" s="512"/>
      <c r="L700" s="510"/>
      <c r="M700" s="512"/>
    </row>
    <row r="701" spans="1:13" x14ac:dyDescent="0.25">
      <c r="A701" s="529" t="s">
        <v>81</v>
      </c>
      <c r="B701" s="618"/>
      <c r="C701" s="552">
        <f>SUM(C440:C700)</f>
        <v>133812</v>
      </c>
      <c r="D701" s="531"/>
      <c r="E701" s="531"/>
      <c r="F701" s="531">
        <f>SUM(F440:F700)</f>
        <v>1899450.8389999999</v>
      </c>
      <c r="G701" s="530"/>
      <c r="H701" s="552">
        <f>SUM(H440:H700)</f>
        <v>133812</v>
      </c>
      <c r="I701" s="619"/>
      <c r="J701" s="531"/>
      <c r="K701" s="531">
        <f>SUM(K440:K700)</f>
        <v>1911314.2100000016</v>
      </c>
      <c r="L701" s="530"/>
      <c r="M701" s="531">
        <f>SUM(M440:M450)</f>
        <v>2752.2000000000003</v>
      </c>
    </row>
    <row r="702" spans="1:13" ht="15.75" thickBot="1" x14ac:dyDescent="0.3">
      <c r="A702" s="532" t="s">
        <v>194</v>
      </c>
      <c r="B702" s="620"/>
      <c r="C702" s="534">
        <f>SumByColor($A$72, C440:C700)</f>
        <v>0</v>
      </c>
      <c r="D702" s="534"/>
      <c r="E702" s="534"/>
      <c r="F702" s="535">
        <f>SumByColor($A$72, F440:F700)</f>
        <v>0</v>
      </c>
      <c r="G702" s="534"/>
      <c r="H702" s="534">
        <f>SumByColor($A$72, H440:H700)</f>
        <v>0</v>
      </c>
      <c r="I702" s="534"/>
      <c r="J702" s="535"/>
      <c r="K702" s="535">
        <f>SumByColor($A$72, K440:K700)</f>
        <v>0</v>
      </c>
      <c r="L702" s="534"/>
      <c r="M702" s="535">
        <f>SumByColor($A$72, M440:M700)</f>
        <v>0</v>
      </c>
    </row>
    <row r="703" spans="1:13" x14ac:dyDescent="0.25">
      <c r="A703" s="510"/>
      <c r="B703" s="559"/>
      <c r="C703" s="510"/>
      <c r="D703" s="511"/>
      <c r="E703" s="512"/>
      <c r="F703" s="512"/>
      <c r="G703" s="510"/>
      <c r="H703" s="527"/>
      <c r="I703" s="511"/>
      <c r="J703" s="512"/>
      <c r="K703" s="512"/>
      <c r="L703" s="510"/>
      <c r="M703" s="512"/>
    </row>
  </sheetData>
  <mergeCells count="3">
    <mergeCell ref="O41:P41"/>
    <mergeCell ref="Z2:AB2"/>
    <mergeCell ref="Z3:AB3"/>
  </mergeCells>
  <conditionalFormatting sqref="F186:F204 H186:H204 H339 F339 H410:H434 F410:F434">
    <cfRule type="expression" dxfId="2133" priority="109">
      <formula>F186&gt;0</formula>
    </cfRule>
    <cfRule type="expression" dxfId="2132" priority="110">
      <formula>F186&lt;0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9:F185">
    <cfRule type="expression" dxfId="2131" priority="102">
      <formula>F179&gt;0</formula>
    </cfRule>
    <cfRule type="expression" dxfId="2130" priority="103">
      <formula>F179&lt;0</formula>
    </cfRule>
  </conditionalFormatting>
  <conditionalFormatting sqref="H179:H185">
    <cfRule type="expression" dxfId="2129" priority="98">
      <formula>H179&gt;0</formula>
    </cfRule>
    <cfRule type="expression" dxfId="2128" priority="99">
      <formula>H179&lt;0</formula>
    </cfRule>
  </conditionalFormatting>
  <conditionalFormatting sqref="Q8">
    <cfRule type="expression" dxfId="2127" priority="84">
      <formula>Q8&gt;0</formula>
    </cfRule>
    <cfRule type="expression" dxfId="2126" priority="85">
      <formula>Q8&lt;0</formula>
    </cfRule>
  </conditionalFormatting>
  <conditionalFormatting sqref="Q7">
    <cfRule type="expression" dxfId="2125" priority="86">
      <formula>Q7&gt;0</formula>
    </cfRule>
    <cfRule type="expression" dxfId="2124" priority="87">
      <formula>Q7&lt;0</formula>
    </cfRule>
  </conditionalFormatting>
  <conditionalFormatting sqref="F287:F293">
    <cfRule type="expression" dxfId="2123" priority="58">
      <formula>F287&gt;0</formula>
    </cfRule>
    <cfRule type="expression" dxfId="2122" priority="59">
      <formula>F287&lt;0</formula>
    </cfRule>
  </conditionalFormatting>
  <conditionalFormatting sqref="F212:F230 H212:H230">
    <cfRule type="expression" dxfId="2121" priority="80">
      <formula>F212&gt;0</formula>
    </cfRule>
    <cfRule type="expression" dxfId="2120" priority="81">
      <formula>F212&lt;0</formula>
    </cfRule>
  </conditionalFormatting>
  <conditionalFormatting sqref="F205:F211">
    <cfRule type="expression" dxfId="2119" priority="78">
      <formula>F205&gt;0</formula>
    </cfRule>
    <cfRule type="expression" dxfId="2118" priority="79">
      <formula>F205&lt;0</formula>
    </cfRule>
  </conditionalFormatting>
  <conditionalFormatting sqref="H205:H211">
    <cfRule type="expression" dxfId="2117" priority="76">
      <formula>H205&gt;0</formula>
    </cfRule>
    <cfRule type="expression" dxfId="2116" priority="77">
      <formula>H205&lt;0</formula>
    </cfRule>
  </conditionalFormatting>
  <conditionalFormatting sqref="F238:F256 H238:H256">
    <cfRule type="expression" dxfId="2115" priority="74">
      <formula>F238&gt;0</formula>
    </cfRule>
    <cfRule type="expression" dxfId="2114" priority="75">
      <formula>F238&lt;0</formula>
    </cfRule>
  </conditionalFormatting>
  <conditionalFormatting sqref="F231:F237">
    <cfRule type="expression" dxfId="2113" priority="72">
      <formula>F231&gt;0</formula>
    </cfRule>
    <cfRule type="expression" dxfId="2112" priority="73">
      <formula>F231&lt;0</formula>
    </cfRule>
  </conditionalFormatting>
  <conditionalFormatting sqref="H231:H237">
    <cfRule type="expression" dxfId="2111" priority="70">
      <formula>H231&gt;0</formula>
    </cfRule>
    <cfRule type="expression" dxfId="2110" priority="71">
      <formula>H231&lt;0</formula>
    </cfRule>
  </conditionalFormatting>
  <conditionalFormatting sqref="F264:F281 H264:H281">
    <cfRule type="expression" dxfId="2109" priority="68">
      <formula>F264&gt;0</formula>
    </cfRule>
    <cfRule type="expression" dxfId="2108" priority="69">
      <formula>F264&lt;0</formula>
    </cfRule>
  </conditionalFormatting>
  <conditionalFormatting sqref="F257:F263">
    <cfRule type="expression" dxfId="2107" priority="66">
      <formula>F257&gt;0</formula>
    </cfRule>
    <cfRule type="expression" dxfId="2106" priority="67">
      <formula>F257&lt;0</formula>
    </cfRule>
  </conditionalFormatting>
  <conditionalFormatting sqref="H257:H263">
    <cfRule type="expression" dxfId="2105" priority="64">
      <formula>H257&gt;0</formula>
    </cfRule>
    <cfRule type="expression" dxfId="2104" priority="65">
      <formula>H257&lt;0</formula>
    </cfRule>
  </conditionalFormatting>
  <conditionalFormatting sqref="F282:F286 H282:H286">
    <cfRule type="expression" dxfId="2103" priority="62">
      <formula>F282&gt;0</formula>
    </cfRule>
    <cfRule type="expression" dxfId="2102" priority="63">
      <formula>F282&lt;0</formula>
    </cfRule>
  </conditionalFormatting>
  <conditionalFormatting sqref="F294:F309 H294:H309">
    <cfRule type="expression" dxfId="2101" priority="60">
      <formula>F294&gt;0</formula>
    </cfRule>
    <cfRule type="expression" dxfId="2100" priority="61">
      <formula>F294&lt;0</formula>
    </cfRule>
  </conditionalFormatting>
  <conditionalFormatting sqref="H287:H293">
    <cfRule type="expression" dxfId="2099" priority="56">
      <formula>H287&gt;0</formula>
    </cfRule>
    <cfRule type="expression" dxfId="2098" priority="57">
      <formula>H287&lt;0</formula>
    </cfRule>
  </conditionalFormatting>
  <conditionalFormatting sqref="F310 H310">
    <cfRule type="expression" dxfId="2097" priority="54">
      <formula>F310&gt;0</formula>
    </cfRule>
    <cfRule type="expression" dxfId="2096" priority="55">
      <formula>F310&lt;0</formula>
    </cfRule>
  </conditionalFormatting>
  <conditionalFormatting sqref="F311:F315 H311:H315">
    <cfRule type="expression" dxfId="2095" priority="52">
      <formula>F311&gt;0</formula>
    </cfRule>
    <cfRule type="expression" dxfId="2094" priority="53">
      <formula>F311&lt;0</formula>
    </cfRule>
  </conditionalFormatting>
  <conditionalFormatting sqref="F323:F338 H323:H338">
    <cfRule type="expression" dxfId="2093" priority="50">
      <formula>F323&gt;0</formula>
    </cfRule>
    <cfRule type="expression" dxfId="2092" priority="51">
      <formula>F323&lt;0</formula>
    </cfRule>
  </conditionalFormatting>
  <conditionalFormatting sqref="F316:F322">
    <cfRule type="expression" dxfId="2091" priority="48">
      <formula>F316&gt;0</formula>
    </cfRule>
    <cfRule type="expression" dxfId="2090" priority="49">
      <formula>F316&lt;0</formula>
    </cfRule>
  </conditionalFormatting>
  <conditionalFormatting sqref="H316:H322">
    <cfRule type="expression" dxfId="2089" priority="46">
      <formula>H316&gt;0</formula>
    </cfRule>
    <cfRule type="expression" dxfId="2088" priority="47">
      <formula>H316&lt;0</formula>
    </cfRule>
  </conditionalFormatting>
  <conditionalFormatting sqref="F340:F345 H340:H345">
    <cfRule type="expression" dxfId="2087" priority="44">
      <formula>F340&gt;0</formula>
    </cfRule>
    <cfRule type="expression" dxfId="2086" priority="45">
      <formula>F340&lt;0</formula>
    </cfRule>
  </conditionalFormatting>
  <conditionalFormatting sqref="F346 H346">
    <cfRule type="expression" dxfId="2085" priority="42">
      <formula>F346&gt;0</formula>
    </cfRule>
    <cfRule type="expression" dxfId="2084" priority="43">
      <formula>F346&lt;0</formula>
    </cfRule>
  </conditionalFormatting>
  <conditionalFormatting sqref="F347:F351 H347:H351">
    <cfRule type="expression" dxfId="2083" priority="40">
      <formula>F347&gt;0</formula>
    </cfRule>
    <cfRule type="expression" dxfId="2082" priority="41">
      <formula>F347&lt;0</formula>
    </cfRule>
  </conditionalFormatting>
  <conditionalFormatting sqref="F359:F374 H359:H374">
    <cfRule type="expression" dxfId="2081" priority="38">
      <formula>F359&gt;0</formula>
    </cfRule>
    <cfRule type="expression" dxfId="2080" priority="39">
      <formula>F359&lt;0</formula>
    </cfRule>
  </conditionalFormatting>
  <conditionalFormatting sqref="F352:F358">
    <cfRule type="expression" dxfId="2079" priority="36">
      <formula>F352&gt;0</formula>
    </cfRule>
    <cfRule type="expression" dxfId="2078" priority="37">
      <formula>F352&lt;0</formula>
    </cfRule>
  </conditionalFormatting>
  <conditionalFormatting sqref="H352:H358">
    <cfRule type="expression" dxfId="2077" priority="34">
      <formula>H352&gt;0</formula>
    </cfRule>
    <cfRule type="expression" dxfId="2076" priority="35">
      <formula>H352&lt;0</formula>
    </cfRule>
  </conditionalFormatting>
  <conditionalFormatting sqref="F375:F380 H375:H380">
    <cfRule type="expression" dxfId="2075" priority="32">
      <formula>F375&gt;0</formula>
    </cfRule>
    <cfRule type="expression" dxfId="2074" priority="33">
      <formula>F375&lt;0</formula>
    </cfRule>
  </conditionalFormatting>
  <conditionalFormatting sqref="F381 H381">
    <cfRule type="expression" dxfId="2073" priority="30">
      <formula>F381&gt;0</formula>
    </cfRule>
    <cfRule type="expression" dxfId="2072" priority="31">
      <formula>F381&lt;0</formula>
    </cfRule>
  </conditionalFormatting>
  <conditionalFormatting sqref="F382:F386 H382:H386">
    <cfRule type="expression" dxfId="2071" priority="28">
      <formula>F382&gt;0</formula>
    </cfRule>
    <cfRule type="expression" dxfId="2070" priority="29">
      <formula>F382&lt;0</formula>
    </cfRule>
  </conditionalFormatting>
  <conditionalFormatting sqref="F394:F409 H394:H409">
    <cfRule type="expression" dxfId="2069" priority="26">
      <formula>F394&gt;0</formula>
    </cfRule>
    <cfRule type="expression" dxfId="2068" priority="27">
      <formula>F394&lt;0</formula>
    </cfRule>
  </conditionalFormatting>
  <conditionalFormatting sqref="F387:F393">
    <cfRule type="expression" dxfId="2067" priority="24">
      <formula>F387&gt;0</formula>
    </cfRule>
    <cfRule type="expression" dxfId="2066" priority="25">
      <formula>F387&lt;0</formula>
    </cfRule>
  </conditionalFormatting>
  <conditionalFormatting sqref="H387:H393">
    <cfRule type="expression" dxfId="2065" priority="22">
      <formula>H387&gt;0</formula>
    </cfRule>
    <cfRule type="expression" dxfId="2064" priority="23">
      <formula>H387&lt;0</formula>
    </cfRule>
  </conditionalFormatting>
  <conditionalFormatting sqref="M438">
    <cfRule type="expression" dxfId="2063" priority="20">
      <formula>M438&gt;0</formula>
    </cfRule>
    <cfRule type="expression" dxfId="2062" priority="21">
      <formula>M438&lt;0</formula>
    </cfRule>
  </conditionalFormatting>
  <conditionalFormatting sqref="F94:F176 H94:H176">
    <cfRule type="expression" dxfId="2061" priority="18">
      <formula>F94&gt;0</formula>
    </cfRule>
    <cfRule type="expression" dxfId="2060" priority="19">
      <formula>F94&lt;0</formula>
    </cfRule>
  </conditionalFormatting>
  <conditionalFormatting sqref="F82:F93">
    <cfRule type="expression" dxfId="2059" priority="16">
      <formula>F82&gt;0</formula>
    </cfRule>
    <cfRule type="expression" dxfId="2058" priority="17">
      <formula>F82&lt;0</formula>
    </cfRule>
  </conditionalFormatting>
  <conditionalFormatting sqref="H82:H93">
    <cfRule type="expression" dxfId="2057" priority="14">
      <formula>H82&gt;0</formula>
    </cfRule>
    <cfRule type="expression" dxfId="2056" priority="15">
      <formula>H82&lt;0</formula>
    </cfRule>
  </conditionalFormatting>
  <conditionalFormatting sqref="F76:F81 H76:H81">
    <cfRule type="expression" dxfId="2055" priority="12">
      <formula>F76&gt;0</formula>
    </cfRule>
    <cfRule type="expression" dxfId="2054" priority="13">
      <formula>F76&lt;0</formula>
    </cfRule>
  </conditionalFormatting>
  <conditionalFormatting sqref="J78:K78">
    <cfRule type="expression" dxfId="2053" priority="10">
      <formula>J78&gt;0</formula>
    </cfRule>
    <cfRule type="expression" dxfId="2052" priority="11">
      <formula>J78&lt;0</formula>
    </cfRule>
  </conditionalFormatting>
  <conditionalFormatting sqref="J79:K85 K84:K176">
    <cfRule type="expression" dxfId="2051" priority="8">
      <formula>J79&gt;0</formula>
    </cfRule>
    <cfRule type="expression" dxfId="2050" priority="9">
      <formula>J79&lt;0</formula>
    </cfRule>
  </conditionalFormatting>
  <conditionalFormatting sqref="L78:L160 L167 L169">
    <cfRule type="expression" dxfId="2049" priority="4">
      <formula>L78&gt;0</formula>
    </cfRule>
    <cfRule type="expression" dxfId="2048" priority="5">
      <formula>L78&lt;0</formula>
    </cfRule>
  </conditionalFormatting>
  <conditionalFormatting sqref="Q10">
    <cfRule type="expression" dxfId="2047" priority="2">
      <formula>Q10&gt;0</formula>
    </cfRule>
    <cfRule type="expression" dxfId="2046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41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892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893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14.11</v>
      </c>
      <c r="R4" s="508">
        <v>-2.69E-2</v>
      </c>
      <c r="T4" s="159"/>
      <c r="U4" s="1" t="s">
        <v>942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2822</v>
      </c>
      <c r="T5" s="1">
        <v>43112</v>
      </c>
      <c r="U5" t="s">
        <v>940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-668</v>
      </c>
      <c r="R7">
        <v>200</v>
      </c>
      <c r="T7" s="1">
        <v>43117</v>
      </c>
      <c r="U7" t="s">
        <v>947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-668</v>
      </c>
      <c r="U8" t="s">
        <v>948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-0.19140401146131805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3.4018426647767538E-2</v>
      </c>
      <c r="R11">
        <f>0.12</f>
        <v>0.12</v>
      </c>
      <c r="T11" s="159">
        <v>43124</v>
      </c>
      <c r="U11" t="s">
        <v>941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15.521000000000001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15.379900000000001</v>
      </c>
      <c r="W16" s="134"/>
    </row>
    <row r="17" spans="1:23" x14ac:dyDescent="0.25">
      <c r="O17" s="81">
        <v>1.08</v>
      </c>
      <c r="P17" s="81">
        <f t="shared" si="0"/>
        <v>15.238800000000001</v>
      </c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15.0977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14.9566</v>
      </c>
      <c r="W19" s="134"/>
    </row>
    <row r="20" spans="1:23" x14ac:dyDescent="0.25">
      <c r="O20" s="81">
        <v>1.05</v>
      </c>
      <c r="P20" s="81">
        <f t="shared" si="0"/>
        <v>14.8155</v>
      </c>
      <c r="W20" s="134"/>
    </row>
    <row r="21" spans="1:23" x14ac:dyDescent="0.25">
      <c r="O21" s="81">
        <v>1.04</v>
      </c>
      <c r="P21" s="81">
        <f t="shared" si="0"/>
        <v>14.6744</v>
      </c>
      <c r="W21" s="134"/>
    </row>
    <row r="22" spans="1:23" x14ac:dyDescent="0.25">
      <c r="O22" s="81">
        <v>1.03</v>
      </c>
      <c r="P22" s="81">
        <f t="shared" si="0"/>
        <v>14.533300000000001</v>
      </c>
      <c r="W22" s="134"/>
    </row>
    <row r="23" spans="1:23" x14ac:dyDescent="0.25">
      <c r="O23" s="81">
        <v>1.02</v>
      </c>
      <c r="P23" s="81">
        <f t="shared" si="0"/>
        <v>14.392199999999999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1.01</v>
      </c>
      <c r="P24" s="81">
        <f t="shared" si="0"/>
        <v>14.251099999999999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1">C25*(E25-D25)</f>
        <v>-3.9999999999999147</v>
      </c>
      <c r="G25" s="39">
        <f t="shared" ref="G25" si="2">D25*C25</f>
        <v>3490</v>
      </c>
      <c r="H25" s="226">
        <f t="shared" ref="H25" si="3">(E25-D25)/D25</f>
        <v>-1.1461318051575688E-3</v>
      </c>
      <c r="I25" s="39">
        <v>17</v>
      </c>
      <c r="J25" s="39"/>
      <c r="K25" s="39"/>
      <c r="L25" s="39"/>
      <c r="O25" s="81">
        <v>1</v>
      </c>
      <c r="P25" s="81">
        <f t="shared" si="0"/>
        <v>14.11</v>
      </c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4">C26*(E26-D26)</f>
        <v>139.99999999999986</v>
      </c>
      <c r="G26" s="39">
        <f t="shared" ref="G26" si="5">D26*C26</f>
        <v>3490</v>
      </c>
      <c r="H26" s="226">
        <f t="shared" ref="H26" si="6">(E26-D26)/D26</f>
        <v>4.0114613180515721E-2</v>
      </c>
      <c r="I26" s="39"/>
      <c r="J26" s="39"/>
      <c r="K26" s="39"/>
      <c r="L26" s="39"/>
      <c r="O26" s="81">
        <v>0.99</v>
      </c>
      <c r="P26" s="81">
        <f t="shared" si="0"/>
        <v>13.9689</v>
      </c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7">C27*(E27-D27)</f>
        <v>217.99999999999997</v>
      </c>
      <c r="G27" s="39">
        <f t="shared" ref="G27" si="8">D27*C27</f>
        <v>3490</v>
      </c>
      <c r="H27" s="226">
        <f t="shared" ref="H27" si="9">(E27-D27)/D27</f>
        <v>6.246418338108882E-2</v>
      </c>
      <c r="I27" s="39"/>
      <c r="J27" s="39"/>
      <c r="K27" s="39"/>
      <c r="L27" s="158"/>
      <c r="O27" s="81">
        <v>0.98</v>
      </c>
      <c r="P27" s="81">
        <f t="shared" si="0"/>
        <v>13.8278</v>
      </c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10">C28*(E28-D28)</f>
        <v>-19.999999999999574</v>
      </c>
      <c r="G28" s="39">
        <f t="shared" ref="G28:G29" si="11">D28*C28</f>
        <v>3490</v>
      </c>
      <c r="H28" s="226">
        <f t="shared" ref="H28:H29" si="12">(E28-D28)/D28</f>
        <v>-5.730659025787844E-3</v>
      </c>
      <c r="I28" s="39"/>
      <c r="J28" s="39"/>
      <c r="K28" s="39"/>
      <c r="L28" s="158"/>
      <c r="O28" s="81">
        <v>0.97</v>
      </c>
      <c r="P28" s="81">
        <f t="shared" si="0"/>
        <v>13.686699999999998</v>
      </c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10"/>
        <v>-201.9999999999996</v>
      </c>
      <c r="G29" s="39">
        <f t="shared" si="11"/>
        <v>3490</v>
      </c>
      <c r="H29" s="226">
        <f t="shared" si="12"/>
        <v>-5.7879656160458343E-2</v>
      </c>
      <c r="I29" s="39"/>
      <c r="J29" s="39"/>
      <c r="K29" s="39"/>
      <c r="L29" s="158"/>
      <c r="O29" s="81">
        <v>0.96</v>
      </c>
      <c r="P29" s="81">
        <f t="shared" si="0"/>
        <v>13.545599999999999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13.404499999999999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13.263399999999999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13.122300000000001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0.92</v>
      </c>
      <c r="P33" s="81">
        <f t="shared" si="0"/>
        <v>12.981199999999999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12.8401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12.699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W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 t="s">
        <v>828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A88" s="370"/>
      <c r="B88" s="497" t="s">
        <v>113</v>
      </c>
      <c r="C88" s="497" t="s">
        <v>146</v>
      </c>
      <c r="D88" s="498" t="s">
        <v>145</v>
      </c>
      <c r="E88" s="499" t="s">
        <v>147</v>
      </c>
      <c r="F88" s="499" t="s">
        <v>65</v>
      </c>
      <c r="G88" s="501" t="s">
        <v>151</v>
      </c>
      <c r="H88" s="501" t="s">
        <v>88</v>
      </c>
      <c r="I88" s="501" t="s">
        <v>154</v>
      </c>
      <c r="J88" s="371"/>
      <c r="K88" s="371"/>
      <c r="L88" s="370"/>
      <c r="M88" s="370"/>
    </row>
    <row r="89" spans="1:13" x14ac:dyDescent="0.25">
      <c r="A89" s="370"/>
      <c r="B89" s="369"/>
      <c r="C89" s="370"/>
      <c r="D89" s="371"/>
      <c r="E89" s="371"/>
      <c r="F89" s="371"/>
      <c r="G89" s="371"/>
      <c r="H89" s="372"/>
      <c r="I89" s="371"/>
      <c r="J89" s="371"/>
      <c r="K89" s="371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1"/>
      <c r="H90" s="372"/>
      <c r="I90" s="371"/>
      <c r="J90" s="371"/>
      <c r="K90" s="371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1"/>
      <c r="H91" s="372"/>
      <c r="I91" s="371"/>
      <c r="J91" s="371"/>
      <c r="K91" s="371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1"/>
      <c r="H92" s="372"/>
      <c r="I92" s="371"/>
      <c r="J92" s="371"/>
      <c r="K92" s="371"/>
      <c r="L92" s="370"/>
      <c r="M92" s="370"/>
    </row>
    <row r="93" spans="1:13" x14ac:dyDescent="0.25">
      <c r="A93" s="370"/>
      <c r="B93" s="369"/>
      <c r="C93" s="370"/>
      <c r="D93" s="371"/>
      <c r="E93" s="371"/>
      <c r="F93" s="371"/>
      <c r="G93" s="371"/>
      <c r="H93" s="372"/>
      <c r="I93" s="371"/>
      <c r="J93" s="371"/>
      <c r="K93" s="371"/>
      <c r="L93" s="370"/>
      <c r="M93" s="370"/>
    </row>
    <row r="94" spans="1:13" x14ac:dyDescent="0.25">
      <c r="A94" s="370"/>
      <c r="B94" s="369"/>
      <c r="C94" s="370"/>
      <c r="D94" s="371"/>
      <c r="E94" s="371"/>
      <c r="F94" s="371"/>
      <c r="G94" s="371"/>
      <c r="H94" s="372"/>
      <c r="I94" s="371"/>
      <c r="J94" s="371"/>
      <c r="K94" s="371"/>
      <c r="L94" s="370"/>
      <c r="M94" s="370"/>
    </row>
    <row r="95" spans="1:13" x14ac:dyDescent="0.25">
      <c r="A95" s="370"/>
      <c r="B95" s="369"/>
      <c r="C95" s="370"/>
      <c r="D95" s="371"/>
      <c r="E95" s="371"/>
      <c r="F95" s="371"/>
      <c r="G95" s="371"/>
      <c r="H95" s="372"/>
      <c r="I95" s="371"/>
      <c r="J95" s="371"/>
      <c r="K95" s="371"/>
      <c r="L95" s="370"/>
      <c r="M95" s="370"/>
    </row>
    <row r="96" spans="1:13" x14ac:dyDescent="0.25">
      <c r="A96" s="370"/>
      <c r="B96" s="369"/>
      <c r="C96" s="370"/>
      <c r="D96" s="371"/>
      <c r="E96" s="371"/>
      <c r="F96" s="371"/>
      <c r="G96" s="371"/>
      <c r="H96" s="372"/>
      <c r="I96" s="371"/>
      <c r="J96" s="371"/>
      <c r="K96" s="371"/>
      <c r="L96" s="370"/>
      <c r="M96" s="370"/>
    </row>
    <row r="97" spans="1:13" x14ac:dyDescent="0.25">
      <c r="A97" s="370"/>
      <c r="B97" s="369"/>
      <c r="C97" s="370"/>
      <c r="D97" s="371"/>
      <c r="E97" s="371"/>
      <c r="F97" s="371"/>
      <c r="G97" s="371"/>
      <c r="H97" s="372"/>
      <c r="I97" s="371"/>
      <c r="J97" s="371"/>
      <c r="K97" s="371"/>
      <c r="L97" s="370"/>
      <c r="M97" s="370"/>
    </row>
    <row r="98" spans="1:13" x14ac:dyDescent="0.25">
      <c r="A98" s="370"/>
      <c r="B98" s="369"/>
      <c r="C98" s="370"/>
      <c r="D98" s="371"/>
      <c r="E98" s="371"/>
      <c r="F98" s="371"/>
      <c r="G98" s="371"/>
      <c r="H98" s="372"/>
      <c r="I98" s="371"/>
      <c r="J98" s="371"/>
      <c r="K98" s="371"/>
      <c r="L98" s="370"/>
      <c r="M98" s="370"/>
    </row>
    <row r="99" spans="1:13" x14ac:dyDescent="0.25">
      <c r="A99" s="370"/>
      <c r="B99" s="369"/>
      <c r="C99" s="370"/>
      <c r="D99" s="371"/>
      <c r="E99" s="371"/>
      <c r="F99" s="371"/>
      <c r="G99" s="371"/>
      <c r="H99" s="372"/>
      <c r="I99" s="371"/>
      <c r="J99" s="371"/>
      <c r="K99" s="371"/>
      <c r="L99" s="370"/>
      <c r="M99" s="370"/>
    </row>
    <row r="100" spans="1:13" x14ac:dyDescent="0.25">
      <c r="A100" s="370"/>
      <c r="B100" s="369"/>
      <c r="C100" s="370"/>
      <c r="D100" s="371"/>
      <c r="E100" s="371"/>
      <c r="F100" s="371"/>
      <c r="G100" s="371"/>
      <c r="H100" s="372"/>
      <c r="I100" s="371"/>
      <c r="J100" s="371"/>
      <c r="K100" s="371"/>
      <c r="L100" s="370"/>
      <c r="M100" s="370"/>
    </row>
    <row r="101" spans="1:13" x14ac:dyDescent="0.25">
      <c r="A101" s="370"/>
      <c r="B101" s="369"/>
      <c r="C101" s="370"/>
      <c r="D101" s="371"/>
      <c r="E101" s="371"/>
      <c r="F101" s="371"/>
      <c r="G101" s="371"/>
      <c r="H101" s="372"/>
      <c r="I101" s="371"/>
      <c r="J101" s="371"/>
      <c r="K101" s="371"/>
      <c r="L101" s="370"/>
      <c r="M101" s="370"/>
    </row>
    <row r="102" spans="1:13" x14ac:dyDescent="0.25">
      <c r="A102" s="370"/>
      <c r="B102" s="369"/>
      <c r="C102" s="370"/>
      <c r="D102" s="371"/>
      <c r="E102" s="371"/>
      <c r="F102" s="371"/>
      <c r="G102" s="371"/>
      <c r="H102" s="372"/>
      <c r="I102" s="371"/>
      <c r="J102" s="371"/>
      <c r="K102" s="371"/>
      <c r="L102" s="370"/>
      <c r="M102" s="370"/>
    </row>
    <row r="103" spans="1:13" x14ac:dyDescent="0.25">
      <c r="A103" s="370"/>
      <c r="B103" s="369"/>
      <c r="C103" s="370"/>
      <c r="D103" s="371"/>
      <c r="E103" s="371"/>
      <c r="F103" s="371"/>
      <c r="G103" s="371"/>
      <c r="H103" s="372"/>
      <c r="I103" s="371"/>
      <c r="J103" s="371"/>
      <c r="K103" s="371"/>
      <c r="L103" s="370"/>
      <c r="M103" s="370"/>
    </row>
    <row r="104" spans="1:13" x14ac:dyDescent="0.25">
      <c r="A104" s="370"/>
      <c r="B104" s="369"/>
      <c r="C104" s="370"/>
      <c r="D104" s="371"/>
      <c r="E104" s="371"/>
      <c r="F104" s="371"/>
      <c r="G104" s="371"/>
      <c r="H104" s="372"/>
      <c r="I104" s="371"/>
      <c r="J104" s="371"/>
      <c r="K104" s="371"/>
      <c r="L104" s="370"/>
      <c r="M104" s="370"/>
    </row>
    <row r="105" spans="1:13" x14ac:dyDescent="0.25">
      <c r="A105" s="370"/>
      <c r="B105" s="369"/>
      <c r="C105" s="370"/>
      <c r="D105" s="371"/>
      <c r="E105" s="371"/>
      <c r="F105" s="371"/>
      <c r="G105" s="371"/>
      <c r="H105" s="372"/>
      <c r="I105" s="371"/>
      <c r="J105" s="371"/>
      <c r="K105" s="371"/>
      <c r="L105" s="370"/>
      <c r="M105" s="370"/>
    </row>
    <row r="106" spans="1:13" x14ac:dyDescent="0.25">
      <c r="A106" s="370"/>
      <c r="B106" s="369"/>
      <c r="C106" s="370"/>
      <c r="D106" s="371"/>
      <c r="E106" s="371"/>
      <c r="F106" s="371"/>
      <c r="G106" s="371"/>
      <c r="H106" s="372"/>
      <c r="I106" s="371"/>
      <c r="J106" s="371"/>
      <c r="K106" s="371"/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1"/>
      <c r="H107" s="372"/>
      <c r="I107" s="371"/>
      <c r="J107" s="371"/>
      <c r="K107" s="371"/>
      <c r="L107" s="370"/>
      <c r="M107" s="370"/>
    </row>
    <row r="108" spans="1:13" x14ac:dyDescent="0.25">
      <c r="A108" s="370"/>
      <c r="B108" s="369"/>
      <c r="C108" s="370"/>
      <c r="D108" s="371"/>
      <c r="E108" s="371"/>
      <c r="F108" s="371"/>
      <c r="G108" s="371"/>
      <c r="H108" s="372"/>
      <c r="I108" s="371"/>
      <c r="J108" s="371"/>
      <c r="K108" s="371"/>
      <c r="L108" s="370"/>
      <c r="M108" s="370"/>
    </row>
    <row r="109" spans="1:13" x14ac:dyDescent="0.25">
      <c r="A109" s="370"/>
      <c r="B109" s="369"/>
      <c r="C109" s="370"/>
      <c r="D109" s="371"/>
      <c r="E109" s="371"/>
      <c r="F109" s="371"/>
      <c r="G109" s="371"/>
      <c r="H109" s="372"/>
      <c r="I109" s="371"/>
      <c r="J109" s="371"/>
      <c r="K109" s="371"/>
      <c r="L109" s="370"/>
      <c r="M109" s="370"/>
    </row>
    <row r="110" spans="1:13" x14ac:dyDescent="0.25">
      <c r="A110" s="370"/>
      <c r="B110" s="369"/>
      <c r="C110" s="370"/>
      <c r="D110" s="371"/>
      <c r="E110" s="371"/>
      <c r="F110" s="371"/>
      <c r="G110" s="371"/>
      <c r="H110" s="372"/>
      <c r="I110" s="371"/>
      <c r="J110" s="371"/>
      <c r="K110" s="371"/>
      <c r="L110" s="370"/>
      <c r="M110" s="370"/>
    </row>
  </sheetData>
  <mergeCells count="1">
    <mergeCell ref="O14:P14"/>
  </mergeCells>
  <conditionalFormatting sqref="O15:O3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034" priority="21">
      <formula>F47&gt;0</formula>
    </cfRule>
    <cfRule type="expression" dxfId="2033" priority="22">
      <formula>F47&lt;0</formula>
    </cfRule>
  </conditionalFormatting>
  <conditionalFormatting sqref="Q7">
    <cfRule type="expression" dxfId="2032" priority="19">
      <formula>Q7&gt;0</formula>
    </cfRule>
    <cfRule type="expression" dxfId="2031" priority="20">
      <formula>Q7&lt;0</formula>
    </cfRule>
  </conditionalFormatting>
  <conditionalFormatting sqref="Q8">
    <cfRule type="expression" dxfId="2030" priority="17">
      <formula>Q8&gt;0</formula>
    </cfRule>
    <cfRule type="expression" dxfId="2029" priority="18">
      <formula>Q8&lt;0</formula>
    </cfRule>
  </conditionalFormatting>
  <conditionalFormatting sqref="F25:F46">
    <cfRule type="expression" dxfId="2028" priority="15">
      <formula>F25&gt;0</formula>
    </cfRule>
    <cfRule type="expression" dxfId="2027" priority="16">
      <formula>F25&lt;0</formula>
    </cfRule>
  </conditionalFormatting>
  <conditionalFormatting sqref="H25:H46">
    <cfRule type="expression" dxfId="2026" priority="13">
      <formula>H25&gt;0</formula>
    </cfRule>
    <cfRule type="expression" dxfId="2025" priority="14">
      <formula>H25&lt;0</formula>
    </cfRule>
  </conditionalFormatting>
  <conditionalFormatting sqref="F89:F110">
    <cfRule type="expression" dxfId="2024" priority="11">
      <formula>F89&gt;0</formula>
    </cfRule>
    <cfRule type="expression" dxfId="2023" priority="12">
      <formula>F89&lt;0</formula>
    </cfRule>
  </conditionalFormatting>
  <conditionalFormatting sqref="H89:H110">
    <cfRule type="expression" dxfId="2022" priority="9">
      <formula>H89&gt;0</formula>
    </cfRule>
    <cfRule type="expression" dxfId="2021" priority="10">
      <formula>H89&lt;0</formula>
    </cfRule>
  </conditionalFormatting>
  <conditionalFormatting sqref="Q10">
    <cfRule type="expression" dxfId="2020" priority="7">
      <formula>Q10&gt;0</formula>
    </cfRule>
    <cfRule type="expression" dxfId="2019" priority="8">
      <formula>Q10&lt;0</formula>
    </cfRule>
  </conditionalFormatting>
  <conditionalFormatting sqref="J25:J38">
    <cfRule type="expression" dxfId="2018" priority="5">
      <formula>J25&gt;0</formula>
    </cfRule>
    <cfRule type="expression" dxfId="2017" priority="6">
      <formula>J25&lt;0</formula>
    </cfRule>
  </conditionalFormatting>
  <conditionalFormatting sqref="K25:K38">
    <cfRule type="expression" dxfId="2016" priority="3">
      <formula>K25&gt;0</formula>
    </cfRule>
    <cfRule type="expression" dxfId="2015" priority="4">
      <formula>K25&lt;0</formula>
    </cfRule>
  </conditionalFormatting>
  <conditionalFormatting sqref="L25:L38">
    <cfRule type="expression" dxfId="2014" priority="1">
      <formula>L25&gt;0</formula>
    </cfRule>
    <cfRule type="expression" dxfId="2013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831</v>
      </c>
    </row>
    <row r="2" spans="1:28" x14ac:dyDescent="0.25">
      <c r="A2" s="6" t="s">
        <v>196</v>
      </c>
      <c r="B2" s="487">
        <v>42718</v>
      </c>
      <c r="C2" s="4">
        <v>200</v>
      </c>
      <c r="D2" s="235">
        <v>34.78</v>
      </c>
      <c r="E2" s="3">
        <v>0</v>
      </c>
      <c r="F2" s="3">
        <f t="shared" ref="F2:F29" si="0">D2*C2+E2</f>
        <v>6956</v>
      </c>
      <c r="G2" s="487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1" t="s">
        <v>358</v>
      </c>
      <c r="W2" s="134"/>
      <c r="AB2" s="134"/>
    </row>
    <row r="3" spans="1:28" x14ac:dyDescent="0.25">
      <c r="A3" s="22" t="s">
        <v>71</v>
      </c>
      <c r="B3" s="487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7">
        <f>IF(Q2=0, Q4, (F41-K41-M41)/Q2)</f>
        <v>29.961077777777767</v>
      </c>
      <c r="T3" s="1" t="s">
        <v>473</v>
      </c>
      <c r="W3" s="134"/>
      <c r="Y3" s="29">
        <v>43095</v>
      </c>
      <c r="Z3" t="s">
        <v>832</v>
      </c>
      <c r="AB3" s="134"/>
    </row>
    <row r="4" spans="1:28" x14ac:dyDescent="0.25">
      <c r="B4" s="487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79">
        <v>27.12</v>
      </c>
      <c r="R4" s="226">
        <v>-5.8999999999999999E-3</v>
      </c>
      <c r="T4" s="159"/>
      <c r="W4" s="134"/>
      <c r="Z4" t="s">
        <v>838</v>
      </c>
      <c r="AB4" s="134"/>
    </row>
    <row r="5" spans="1:28" x14ac:dyDescent="0.25">
      <c r="B5" s="487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48816</v>
      </c>
      <c r="W5" s="134"/>
    </row>
    <row r="6" spans="1:28" x14ac:dyDescent="0.25">
      <c r="B6" s="487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533</v>
      </c>
      <c r="W6" s="134"/>
      <c r="Y6" s="29">
        <v>43102</v>
      </c>
      <c r="Z6" t="s">
        <v>897</v>
      </c>
    </row>
    <row r="7" spans="1:28" x14ac:dyDescent="0.25">
      <c r="B7" s="487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-3365.9699999999939</v>
      </c>
      <c r="R7">
        <v>800</v>
      </c>
      <c r="W7" s="134"/>
      <c r="Z7" t="s">
        <v>883</v>
      </c>
    </row>
    <row r="8" spans="1:28" x14ac:dyDescent="0.25">
      <c r="B8" s="487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4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-5113.9399999999878</v>
      </c>
      <c r="W8" s="134"/>
    </row>
    <row r="9" spans="1:28" x14ac:dyDescent="0.25">
      <c r="B9" s="487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4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-9.4825620054463058E-2</v>
      </c>
      <c r="W9" s="134"/>
      <c r="Y9" s="29">
        <v>43104</v>
      </c>
      <c r="Z9" t="s">
        <v>895</v>
      </c>
    </row>
    <row r="10" spans="1:28" x14ac:dyDescent="0.25">
      <c r="B10" s="487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4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M202</f>
        <v>1747.9699999999939</v>
      </c>
      <c r="W10" s="134"/>
      <c r="Z10" t="s">
        <v>896</v>
      </c>
    </row>
    <row r="11" spans="1:28" x14ac:dyDescent="0.25">
      <c r="B11" s="487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4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1.8436578171091445E-2</v>
      </c>
      <c r="R11">
        <f>0.125</f>
        <v>0.125</v>
      </c>
      <c r="W11" s="134"/>
      <c r="Y11" s="29">
        <v>43105</v>
      </c>
      <c r="Z11" t="s">
        <v>901</v>
      </c>
    </row>
    <row r="12" spans="1:28" x14ac:dyDescent="0.25">
      <c r="B12" s="487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4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7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4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909</v>
      </c>
    </row>
    <row r="14" spans="1:28" x14ac:dyDescent="0.25">
      <c r="B14" s="487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4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8"/>
      <c r="W14" s="134"/>
      <c r="Z14" t="s">
        <v>910</v>
      </c>
    </row>
    <row r="15" spans="1:28" x14ac:dyDescent="0.25">
      <c r="B15" s="487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4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699"/>
      <c r="W15" s="134"/>
    </row>
    <row r="16" spans="1:28" x14ac:dyDescent="0.25">
      <c r="B16" s="487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4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99"/>
      <c r="W16" s="134"/>
      <c r="Y16" s="29">
        <v>43126</v>
      </c>
      <c r="Z16" t="s">
        <v>964</v>
      </c>
    </row>
    <row r="17" spans="2:26" x14ac:dyDescent="0.25">
      <c r="B17" s="487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4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99"/>
      <c r="W17" s="134"/>
      <c r="Z17" t="s">
        <v>965</v>
      </c>
    </row>
    <row r="18" spans="2:26" x14ac:dyDescent="0.25">
      <c r="B18" s="487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4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99"/>
      <c r="W18" s="134"/>
    </row>
    <row r="19" spans="2:26" x14ac:dyDescent="0.25">
      <c r="B19" s="487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699"/>
      <c r="W19" s="134"/>
      <c r="Y19" s="790">
        <v>43153</v>
      </c>
      <c r="Z19" t="s">
        <v>969</v>
      </c>
    </row>
    <row r="20" spans="2:26" x14ac:dyDescent="0.25">
      <c r="B20" s="487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699"/>
      <c r="W20" s="134"/>
      <c r="Y20" s="790">
        <v>43167</v>
      </c>
      <c r="Z20" t="s">
        <v>884</v>
      </c>
    </row>
    <row r="21" spans="2:26" x14ac:dyDescent="0.25">
      <c r="B21" s="487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7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8"/>
      <c r="H22" s="4"/>
      <c r="I22" s="3"/>
      <c r="J22" s="3"/>
      <c r="K22" s="3"/>
      <c r="O22" s="811" t="s">
        <v>78</v>
      </c>
      <c r="P22" s="811"/>
      <c r="W22" s="134"/>
    </row>
    <row r="23" spans="2:26" ht="15.75" thickTop="1" x14ac:dyDescent="0.25">
      <c r="B23" s="488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29.832000000000004</v>
      </c>
      <c r="Q23" s="2"/>
      <c r="W23" s="134"/>
    </row>
    <row r="24" spans="2:26" ht="20.25" thickBot="1" x14ac:dyDescent="0.35">
      <c r="B24" s="488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29.560800000000004</v>
      </c>
      <c r="Q24" s="2"/>
      <c r="T24" s="89" t="s">
        <v>112</v>
      </c>
      <c r="W24" s="134"/>
    </row>
    <row r="25" spans="2:26" ht="15.75" thickTop="1" x14ac:dyDescent="0.25">
      <c r="B25" s="488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29.289600000000004</v>
      </c>
      <c r="Q25" s="2"/>
      <c r="T25" s="125" t="s">
        <v>97</v>
      </c>
      <c r="U25" s="96">
        <v>29.69</v>
      </c>
      <c r="W25" s="134"/>
    </row>
    <row r="26" spans="2:26" x14ac:dyDescent="0.25">
      <c r="B26" s="488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29.018400000000003</v>
      </c>
      <c r="Q26" s="2"/>
      <c r="T26" s="91" t="s">
        <v>98</v>
      </c>
      <c r="U26" s="86">
        <v>29.69</v>
      </c>
      <c r="W26" s="134"/>
    </row>
    <row r="27" spans="2:26" x14ac:dyDescent="0.25">
      <c r="B27" s="485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28.747200000000003</v>
      </c>
      <c r="Q27" s="2"/>
      <c r="T27" s="91" t="s">
        <v>99</v>
      </c>
      <c r="U27" s="86" t="s">
        <v>128</v>
      </c>
      <c r="W27" s="134"/>
    </row>
    <row r="28" spans="2:26" x14ac:dyDescent="0.25">
      <c r="B28" s="485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28.476000000000003</v>
      </c>
      <c r="Q28" s="2"/>
      <c r="T28" s="91" t="s">
        <v>100</v>
      </c>
      <c r="U28" s="86" t="s">
        <v>128</v>
      </c>
      <c r="W28" s="134"/>
    </row>
    <row r="29" spans="2:26" x14ac:dyDescent="0.25">
      <c r="B29" s="485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28.204800000000002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27.933600000000002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27.662400000000002</v>
      </c>
      <c r="Q31" s="2"/>
      <c r="T31" s="91" t="s">
        <v>103</v>
      </c>
      <c r="U31" s="86" t="s">
        <v>522</v>
      </c>
      <c r="W31" s="134"/>
    </row>
    <row r="32" spans="2:26" x14ac:dyDescent="0.25">
      <c r="O32" s="81">
        <v>1.01</v>
      </c>
      <c r="P32" s="81">
        <f t="shared" si="2"/>
        <v>27.391200000000001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27.12</v>
      </c>
      <c r="Q33" s="2"/>
      <c r="T33" s="91" t="s">
        <v>104</v>
      </c>
      <c r="U33" s="86" t="s">
        <v>615</v>
      </c>
      <c r="W33" s="134"/>
    </row>
    <row r="34" spans="1:23" x14ac:dyDescent="0.25">
      <c r="O34" s="81">
        <v>0.99</v>
      </c>
      <c r="P34" s="81">
        <f t="shared" si="2"/>
        <v>26.848800000000001</v>
      </c>
      <c r="Q34" s="2"/>
      <c r="T34" s="91" t="s">
        <v>105</v>
      </c>
      <c r="U34" s="86" t="s">
        <v>616</v>
      </c>
      <c r="W34" s="134"/>
    </row>
    <row r="35" spans="1:23" x14ac:dyDescent="0.25">
      <c r="O35" s="81">
        <v>0.98</v>
      </c>
      <c r="P35" s="81">
        <f t="shared" si="2"/>
        <v>26.5776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26.3064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26.0352</v>
      </c>
      <c r="T37" s="91" t="s">
        <v>107</v>
      </c>
      <c r="U37" s="86" t="s">
        <v>617</v>
      </c>
      <c r="W37" s="134"/>
    </row>
    <row r="38" spans="1:23" x14ac:dyDescent="0.25">
      <c r="O38" s="81">
        <v>0.95</v>
      </c>
      <c r="P38" s="81">
        <f t="shared" si="2"/>
        <v>25.763999999999999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25.492799999999999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25.221600000000002</v>
      </c>
      <c r="T40" s="91" t="s">
        <v>108</v>
      </c>
      <c r="U40" s="86" t="s">
        <v>558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24.950400000000002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3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24.679200000000002</v>
      </c>
      <c r="W42" s="134"/>
    </row>
    <row r="43" spans="1:23" x14ac:dyDescent="0.25">
      <c r="O43" s="81">
        <v>0.9</v>
      </c>
      <c r="P43" s="81">
        <f t="shared" si="2"/>
        <v>24.408000000000001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513</v>
      </c>
      <c r="K47" s="224" t="s">
        <v>150</v>
      </c>
      <c r="L47" s="224" t="s">
        <v>771</v>
      </c>
      <c r="W47" s="134"/>
    </row>
    <row r="48" spans="1:23" x14ac:dyDescent="0.25">
      <c r="A48" t="s">
        <v>346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710</v>
      </c>
      <c r="S48" s="22" t="s">
        <v>709</v>
      </c>
      <c r="W48" s="134"/>
    </row>
    <row r="49" spans="1:23" x14ac:dyDescent="0.25">
      <c r="A49" t="s">
        <v>346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377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403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419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378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443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451</v>
      </c>
      <c r="J54" s="39"/>
      <c r="K54" s="39"/>
      <c r="L54" s="39"/>
    </row>
    <row r="55" spans="1:23" x14ac:dyDescent="0.25">
      <c r="A55" t="s">
        <v>347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476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481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821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5">
        <v>1500</v>
      </c>
      <c r="D89" s="478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898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5">
        <v>1500</v>
      </c>
      <c r="D101" s="478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974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A104">
        <v>500</v>
      </c>
      <c r="B104" s="188">
        <v>43146</v>
      </c>
      <c r="C104" s="10">
        <v>1800</v>
      </c>
      <c r="D104" s="39">
        <v>29.96</v>
      </c>
      <c r="E104" s="39">
        <v>28.79</v>
      </c>
      <c r="F104" s="39">
        <f t="shared" ref="F104" si="144">C104*(E104-D104)</f>
        <v>-2106.0000000000032</v>
      </c>
      <c r="G104" s="39">
        <f t="shared" ref="G104" si="145">D104*C104</f>
        <v>53928</v>
      </c>
      <c r="H104" s="226">
        <f t="shared" ref="H104" si="146">(E104-D104)/D104</f>
        <v>-3.905206942590126E-2</v>
      </c>
      <c r="I104" s="39"/>
      <c r="J104" s="39"/>
      <c r="K104" s="39">
        <v>-360</v>
      </c>
      <c r="L104" s="39"/>
    </row>
    <row r="105" spans="1:12" x14ac:dyDescent="0.25">
      <c r="A105">
        <v>500</v>
      </c>
      <c r="B105" s="188">
        <v>43151</v>
      </c>
      <c r="C105" s="10">
        <v>1800</v>
      </c>
      <c r="D105" s="39">
        <v>29.96</v>
      </c>
      <c r="E105" s="39">
        <v>27.49</v>
      </c>
      <c r="F105" s="39">
        <f t="shared" ref="F105" si="147">C105*(E105-D105)</f>
        <v>-4446.0000000000045</v>
      </c>
      <c r="G105" s="39">
        <f t="shared" ref="G105" si="148">D105*C105</f>
        <v>53928</v>
      </c>
      <c r="H105" s="226">
        <f t="shared" ref="H105" si="149">(E105-D105)/D105</f>
        <v>-8.2443257676902609E-2</v>
      </c>
      <c r="I105" s="39"/>
      <c r="J105" s="39"/>
      <c r="K105" s="39">
        <v>-2700</v>
      </c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8" spans="1:12" x14ac:dyDescent="0.25">
      <c r="B108" s="10"/>
      <c r="C108" s="10"/>
      <c r="D108" s="39"/>
      <c r="E108" s="39"/>
      <c r="F108" s="39"/>
      <c r="G108" s="10"/>
      <c r="H108" s="10"/>
      <c r="I108" s="39"/>
      <c r="J108" s="39"/>
      <c r="K108" s="39"/>
      <c r="L108" s="39"/>
    </row>
    <row r="109" spans="1:12" x14ac:dyDescent="0.25">
      <c r="B109" s="10"/>
      <c r="C109" s="10"/>
      <c r="D109" s="39"/>
      <c r="E109" s="39"/>
      <c r="F109" s="39"/>
      <c r="G109" s="10"/>
      <c r="H109" s="10"/>
      <c r="I109" s="39"/>
      <c r="J109" s="39"/>
      <c r="K109" s="39"/>
      <c r="L109" s="39"/>
    </row>
    <row r="111" spans="1:12" x14ac:dyDescent="0.25">
      <c r="B111" s="369">
        <v>42484</v>
      </c>
      <c r="C111" s="370">
        <v>100</v>
      </c>
      <c r="D111" s="371">
        <v>35.917999999999999</v>
      </c>
      <c r="E111" s="371">
        <v>35.58</v>
      </c>
      <c r="F111" s="371">
        <f t="shared" ref="F111:F124" si="150">C111*(E111-D111)</f>
        <v>-33.800000000000097</v>
      </c>
      <c r="G111" s="371">
        <f t="shared" ref="G111:G124" si="151">D111*C111</f>
        <v>3591.7999999999997</v>
      </c>
      <c r="H111" s="372">
        <f t="shared" ref="H111:H124" si="152">(E111-D111)/D111</f>
        <v>-9.410323514672336E-3</v>
      </c>
      <c r="I111" s="371"/>
    </row>
    <row r="112" spans="1:12" x14ac:dyDescent="0.25">
      <c r="B112" s="369">
        <v>42485</v>
      </c>
      <c r="C112" s="370">
        <v>100</v>
      </c>
      <c r="D112" s="371">
        <v>35.917999999999999</v>
      </c>
      <c r="E112" s="371">
        <v>36.770000000000003</v>
      </c>
      <c r="F112" s="371">
        <f t="shared" si="150"/>
        <v>85.200000000000387</v>
      </c>
      <c r="G112" s="371">
        <f t="shared" si="151"/>
        <v>3591.7999999999997</v>
      </c>
      <c r="H112" s="372">
        <f t="shared" si="152"/>
        <v>2.3720697143493622E-2</v>
      </c>
      <c r="I112" s="371"/>
    </row>
    <row r="113" spans="2:9" x14ac:dyDescent="0.25">
      <c r="B113" s="369">
        <v>42498</v>
      </c>
      <c r="C113" s="370">
        <v>100</v>
      </c>
      <c r="D113" s="371">
        <v>35.917999999999999</v>
      </c>
      <c r="E113" s="371">
        <v>34.549999999999997</v>
      </c>
      <c r="F113" s="371">
        <f t="shared" si="150"/>
        <v>-136.80000000000021</v>
      </c>
      <c r="G113" s="371">
        <f t="shared" si="151"/>
        <v>3591.7999999999997</v>
      </c>
      <c r="H113" s="372">
        <f t="shared" si="152"/>
        <v>-3.8086753159975562E-2</v>
      </c>
      <c r="I113" s="371"/>
    </row>
    <row r="114" spans="2:9" x14ac:dyDescent="0.25">
      <c r="B114" s="369">
        <v>42508</v>
      </c>
      <c r="C114" s="370">
        <v>140</v>
      </c>
      <c r="D114" s="371">
        <v>35.423999999999999</v>
      </c>
      <c r="E114" s="371">
        <v>34.369999999999997</v>
      </c>
      <c r="F114" s="371">
        <f t="shared" si="150"/>
        <v>-147.56000000000029</v>
      </c>
      <c r="G114" s="371">
        <f t="shared" si="151"/>
        <v>4959.3599999999997</v>
      </c>
      <c r="H114" s="372">
        <f t="shared" si="152"/>
        <v>-2.9753839205058776E-2</v>
      </c>
      <c r="I114" s="371"/>
    </row>
    <row r="115" spans="2:9" x14ac:dyDescent="0.25">
      <c r="B115" s="369">
        <v>42509</v>
      </c>
      <c r="C115" s="370">
        <v>240</v>
      </c>
      <c r="D115" s="371">
        <v>35.034999999999997</v>
      </c>
      <c r="E115" s="371">
        <v>34.83</v>
      </c>
      <c r="F115" s="371">
        <f t="shared" si="150"/>
        <v>-49.199999999999591</v>
      </c>
      <c r="G115" s="371">
        <f t="shared" si="151"/>
        <v>8408.4</v>
      </c>
      <c r="H115" s="372">
        <f t="shared" si="152"/>
        <v>-5.8512915655772315E-3</v>
      </c>
      <c r="I115" s="371"/>
    </row>
    <row r="116" spans="2:9" x14ac:dyDescent="0.25">
      <c r="B116" s="369">
        <v>42514</v>
      </c>
      <c r="C116" s="370">
        <v>200</v>
      </c>
      <c r="D116" s="371">
        <v>34.972000000000001</v>
      </c>
      <c r="E116" s="371">
        <v>35.520000000000003</v>
      </c>
      <c r="F116" s="371">
        <f t="shared" si="150"/>
        <v>109.60000000000036</v>
      </c>
      <c r="G116" s="371">
        <f t="shared" si="151"/>
        <v>6994.4000000000005</v>
      </c>
      <c r="H116" s="372">
        <f t="shared" si="152"/>
        <v>1.5669678600022927E-2</v>
      </c>
      <c r="I116" s="371"/>
    </row>
    <row r="117" spans="2:9" x14ac:dyDescent="0.25">
      <c r="B117" s="369">
        <v>42515</v>
      </c>
      <c r="C117" s="370">
        <v>200</v>
      </c>
      <c r="D117" s="371">
        <v>34.972000000000001</v>
      </c>
      <c r="E117" s="371">
        <v>34.94</v>
      </c>
      <c r="F117" s="371">
        <f t="shared" si="150"/>
        <v>-6.4000000000007162</v>
      </c>
      <c r="G117" s="371">
        <f t="shared" si="151"/>
        <v>6994.4000000000005</v>
      </c>
      <c r="H117" s="372">
        <f t="shared" si="152"/>
        <v>-9.150177284685914E-4</v>
      </c>
      <c r="I117" s="371"/>
    </row>
    <row r="118" spans="2:9" x14ac:dyDescent="0.25">
      <c r="B118" s="369">
        <v>42521</v>
      </c>
      <c r="C118" s="370">
        <v>160</v>
      </c>
      <c r="D118" s="371">
        <v>34.718000000000004</v>
      </c>
      <c r="E118" s="371">
        <v>35.76</v>
      </c>
      <c r="F118" s="371">
        <f t="shared" si="150"/>
        <v>166.71999999999912</v>
      </c>
      <c r="G118" s="371">
        <f t="shared" si="151"/>
        <v>5554.880000000001</v>
      </c>
      <c r="H118" s="372">
        <f t="shared" si="152"/>
        <v>3.0013249611152554E-2</v>
      </c>
      <c r="I118" s="371"/>
    </row>
    <row r="119" spans="2:9" x14ac:dyDescent="0.25">
      <c r="B119" s="369">
        <v>42527</v>
      </c>
      <c r="C119" s="370">
        <v>160</v>
      </c>
      <c r="D119" s="371">
        <v>34.652000000000001</v>
      </c>
      <c r="E119" s="371">
        <v>36.020000000000003</v>
      </c>
      <c r="F119" s="371">
        <f t="shared" si="150"/>
        <v>218.88000000000034</v>
      </c>
      <c r="G119" s="371">
        <f t="shared" si="151"/>
        <v>5544.32</v>
      </c>
      <c r="H119" s="372">
        <f t="shared" si="152"/>
        <v>3.9478240794182211E-2</v>
      </c>
      <c r="I119" s="371"/>
    </row>
    <row r="120" spans="2:9" x14ac:dyDescent="0.25">
      <c r="B120" s="369">
        <v>42498</v>
      </c>
      <c r="C120" s="370">
        <v>160</v>
      </c>
      <c r="D120" s="371">
        <v>34.652000000000001</v>
      </c>
      <c r="E120" s="371">
        <v>36.520000000000003</v>
      </c>
      <c r="F120" s="371">
        <f t="shared" si="150"/>
        <v>298.88000000000034</v>
      </c>
      <c r="G120" s="371">
        <f t="shared" si="151"/>
        <v>5544.32</v>
      </c>
      <c r="H120" s="372">
        <f t="shared" si="152"/>
        <v>5.3907422371003176E-2</v>
      </c>
      <c r="I120" s="371"/>
    </row>
    <row r="121" spans="2:9" x14ac:dyDescent="0.25">
      <c r="B121" s="369">
        <v>42531</v>
      </c>
      <c r="C121" s="370">
        <v>60</v>
      </c>
      <c r="D121" s="371">
        <v>30.757000000000001</v>
      </c>
      <c r="E121" s="371">
        <v>36.81</v>
      </c>
      <c r="F121" s="371">
        <f t="shared" si="150"/>
        <v>363.18000000000006</v>
      </c>
      <c r="G121" s="371">
        <f t="shared" si="151"/>
        <v>1845.42</v>
      </c>
      <c r="H121" s="372">
        <f t="shared" si="152"/>
        <v>0.1968007282894951</v>
      </c>
      <c r="I121" s="371"/>
    </row>
    <row r="122" spans="2:9" x14ac:dyDescent="0.25">
      <c r="B122" s="369">
        <v>42536</v>
      </c>
      <c r="C122" s="370">
        <v>160</v>
      </c>
      <c r="D122" s="371">
        <v>33.652999999999999</v>
      </c>
      <c r="E122" s="371">
        <v>35.71</v>
      </c>
      <c r="F122" s="371">
        <f t="shared" si="150"/>
        <v>329.12000000000035</v>
      </c>
      <c r="G122" s="371">
        <f t="shared" si="151"/>
        <v>5384.48</v>
      </c>
      <c r="H122" s="372">
        <f t="shared" si="152"/>
        <v>6.1123822541823976E-2</v>
      </c>
      <c r="I122" s="371"/>
    </row>
    <row r="123" spans="2:9" x14ac:dyDescent="0.25">
      <c r="B123" s="369">
        <v>42542</v>
      </c>
      <c r="C123" s="370">
        <v>160</v>
      </c>
      <c r="D123" s="371">
        <v>33.65</v>
      </c>
      <c r="E123" s="371">
        <v>34.71</v>
      </c>
      <c r="F123" s="371">
        <f t="shared" si="150"/>
        <v>169.60000000000036</v>
      </c>
      <c r="G123" s="371">
        <f t="shared" si="151"/>
        <v>5384</v>
      </c>
      <c r="H123" s="372">
        <f t="shared" si="152"/>
        <v>3.1500742942050589E-2</v>
      </c>
      <c r="I123" s="371"/>
    </row>
    <row r="124" spans="2:9" x14ac:dyDescent="0.25">
      <c r="B124" s="369">
        <v>42548</v>
      </c>
      <c r="C124" s="370">
        <v>160</v>
      </c>
      <c r="D124" s="371">
        <v>33.652999999999999</v>
      </c>
      <c r="E124" s="371">
        <v>36.619999999999997</v>
      </c>
      <c r="F124" s="371">
        <f t="shared" si="150"/>
        <v>474.7199999999998</v>
      </c>
      <c r="G124" s="371">
        <f t="shared" si="151"/>
        <v>5384.48</v>
      </c>
      <c r="H124" s="372">
        <f t="shared" si="152"/>
        <v>8.8164502421775148E-2</v>
      </c>
      <c r="I124" s="371"/>
    </row>
    <row r="125" spans="2:9" x14ac:dyDescent="0.25">
      <c r="B125" s="369">
        <v>42556</v>
      </c>
      <c r="C125" s="370">
        <v>160</v>
      </c>
      <c r="D125" s="371">
        <v>33.652999999999999</v>
      </c>
      <c r="E125" s="371">
        <v>37.33</v>
      </c>
      <c r="F125" s="371">
        <f t="shared" ref="F125:F167" si="153">C125*(E125-D125)</f>
        <v>588.31999999999994</v>
      </c>
      <c r="G125" s="371">
        <f t="shared" ref="G125:G138" si="154">D125*C125</f>
        <v>5384.48</v>
      </c>
      <c r="H125" s="372">
        <f t="shared" ref="H125:H167" si="155">(E125-D125)/D125</f>
        <v>0.10926217573470418</v>
      </c>
      <c r="I125" s="371"/>
    </row>
    <row r="126" spans="2:9" x14ac:dyDescent="0.25">
      <c r="B126" s="369">
        <v>42559</v>
      </c>
      <c r="C126" s="370">
        <v>160</v>
      </c>
      <c r="D126" s="371">
        <v>33.652999999999999</v>
      </c>
      <c r="E126" s="371">
        <v>37.86</v>
      </c>
      <c r="F126" s="371">
        <f t="shared" si="153"/>
        <v>673.12000000000012</v>
      </c>
      <c r="G126" s="371">
        <f t="shared" si="154"/>
        <v>5384.48</v>
      </c>
      <c r="H126" s="372">
        <f t="shared" si="155"/>
        <v>0.12501114313731318</v>
      </c>
      <c r="I126" s="371"/>
    </row>
    <row r="127" spans="2:9" x14ac:dyDescent="0.25">
      <c r="B127" s="369">
        <v>42563</v>
      </c>
      <c r="C127" s="370">
        <v>160</v>
      </c>
      <c r="D127" s="371">
        <v>33.652999999999999</v>
      </c>
      <c r="E127" s="371">
        <v>37.39</v>
      </c>
      <c r="F127" s="371">
        <f t="shared" si="153"/>
        <v>597.9200000000003</v>
      </c>
      <c r="G127" s="371">
        <f t="shared" si="154"/>
        <v>5384.48</v>
      </c>
      <c r="H127" s="372">
        <f t="shared" si="155"/>
        <v>0.11104507770481092</v>
      </c>
      <c r="I127" s="371"/>
    </row>
    <row r="128" spans="2:9" x14ac:dyDescent="0.25">
      <c r="B128" s="369">
        <v>42566</v>
      </c>
      <c r="C128" s="370">
        <v>160</v>
      </c>
      <c r="D128" s="371">
        <v>33.652999999999999</v>
      </c>
      <c r="E128" s="371">
        <v>36.71</v>
      </c>
      <c r="F128" s="371">
        <f t="shared" si="153"/>
        <v>489.12000000000035</v>
      </c>
      <c r="G128" s="371">
        <f t="shared" si="154"/>
        <v>5384.48</v>
      </c>
      <c r="H128" s="372">
        <f t="shared" si="155"/>
        <v>9.0838855376935257E-2</v>
      </c>
      <c r="I128" s="371"/>
    </row>
    <row r="129" spans="2:9" x14ac:dyDescent="0.25">
      <c r="B129" s="369">
        <v>42570</v>
      </c>
      <c r="C129" s="370">
        <v>160</v>
      </c>
      <c r="D129" s="371">
        <v>33.652999999999999</v>
      </c>
      <c r="E129" s="371">
        <v>36.21</v>
      </c>
      <c r="F129" s="371">
        <f t="shared" si="153"/>
        <v>409.12000000000035</v>
      </c>
      <c r="G129" s="371">
        <f t="shared" si="154"/>
        <v>5384.48</v>
      </c>
      <c r="H129" s="372">
        <f t="shared" si="155"/>
        <v>7.5981338959379613E-2</v>
      </c>
      <c r="I129" s="371"/>
    </row>
    <row r="130" spans="2:9" x14ac:dyDescent="0.25">
      <c r="B130" s="369">
        <v>42571</v>
      </c>
      <c r="C130" s="370">
        <v>160</v>
      </c>
      <c r="D130" s="371">
        <v>33.652999999999999</v>
      </c>
      <c r="E130" s="371">
        <v>36.4</v>
      </c>
      <c r="F130" s="371">
        <f t="shared" si="153"/>
        <v>439.52</v>
      </c>
      <c r="G130" s="371">
        <f t="shared" si="154"/>
        <v>5384.48</v>
      </c>
      <c r="H130" s="372">
        <f t="shared" si="155"/>
        <v>8.16271951980507E-2</v>
      </c>
      <c r="I130" s="371"/>
    </row>
    <row r="131" spans="2:9" x14ac:dyDescent="0.25">
      <c r="B131" s="369">
        <v>42572</v>
      </c>
      <c r="C131" s="370">
        <v>160</v>
      </c>
      <c r="D131" s="371">
        <v>33.652999999999999</v>
      </c>
      <c r="E131" s="371">
        <v>35.96</v>
      </c>
      <c r="F131" s="371">
        <f t="shared" si="153"/>
        <v>369.12000000000035</v>
      </c>
      <c r="G131" s="371">
        <f t="shared" si="154"/>
        <v>5384.48</v>
      </c>
      <c r="H131" s="372">
        <f t="shared" si="155"/>
        <v>6.8552580750601791E-2</v>
      </c>
      <c r="I131" s="371"/>
    </row>
    <row r="132" spans="2:9" x14ac:dyDescent="0.25">
      <c r="B132" s="369">
        <v>42576</v>
      </c>
      <c r="C132" s="370">
        <v>160</v>
      </c>
      <c r="D132" s="371">
        <v>33.652999999999999</v>
      </c>
      <c r="E132" s="371">
        <v>35.79</v>
      </c>
      <c r="F132" s="371">
        <f t="shared" si="153"/>
        <v>341.92000000000007</v>
      </c>
      <c r="G132" s="371">
        <f t="shared" si="154"/>
        <v>5384.48</v>
      </c>
      <c r="H132" s="372">
        <f t="shared" si="155"/>
        <v>6.3501025168632833E-2</v>
      </c>
      <c r="I132" s="371"/>
    </row>
    <row r="133" spans="2:9" x14ac:dyDescent="0.25">
      <c r="B133" s="369">
        <v>42577</v>
      </c>
      <c r="C133" s="370">
        <v>160</v>
      </c>
      <c r="D133" s="371">
        <v>33.652999999999999</v>
      </c>
      <c r="E133" s="371">
        <v>36.42</v>
      </c>
      <c r="F133" s="371">
        <f t="shared" si="153"/>
        <v>442.72000000000048</v>
      </c>
      <c r="G133" s="371">
        <f t="shared" si="154"/>
        <v>5384.48</v>
      </c>
      <c r="H133" s="372">
        <f t="shared" si="155"/>
        <v>8.222149585475301E-2</v>
      </c>
      <c r="I133" s="371"/>
    </row>
    <row r="134" spans="2:9" x14ac:dyDescent="0.25">
      <c r="B134" s="369">
        <v>42579</v>
      </c>
      <c r="C134" s="370">
        <v>230</v>
      </c>
      <c r="D134" s="371">
        <v>34.006</v>
      </c>
      <c r="E134" s="371">
        <v>34.4</v>
      </c>
      <c r="F134" s="371">
        <f t="shared" si="153"/>
        <v>90.619999999999621</v>
      </c>
      <c r="G134" s="371">
        <f t="shared" si="154"/>
        <v>7821.38</v>
      </c>
      <c r="H134" s="372">
        <f t="shared" si="155"/>
        <v>1.1586190672234263E-2</v>
      </c>
      <c r="I134" s="371"/>
    </row>
    <row r="135" spans="2:9" x14ac:dyDescent="0.25">
      <c r="B135" s="369">
        <v>42580</v>
      </c>
      <c r="C135" s="370">
        <v>260</v>
      </c>
      <c r="D135" s="371">
        <v>33.991999999999997</v>
      </c>
      <c r="E135" s="371">
        <v>34.19</v>
      </c>
      <c r="F135" s="371">
        <f t="shared" si="153"/>
        <v>51.480000000000103</v>
      </c>
      <c r="G135" s="371">
        <f t="shared" si="154"/>
        <v>8837.92</v>
      </c>
      <c r="H135" s="372">
        <f t="shared" si="155"/>
        <v>5.824899976465063E-3</v>
      </c>
      <c r="I135" s="371"/>
    </row>
    <row r="136" spans="2:9" x14ac:dyDescent="0.25">
      <c r="B136" s="369">
        <v>42584</v>
      </c>
      <c r="C136" s="370">
        <v>300</v>
      </c>
      <c r="D136" s="371">
        <v>33.866</v>
      </c>
      <c r="E136" s="371">
        <v>32.61</v>
      </c>
      <c r="F136" s="371">
        <f t="shared" si="153"/>
        <v>-376.80000000000007</v>
      </c>
      <c r="G136" s="371">
        <f t="shared" si="154"/>
        <v>10159.799999999999</v>
      </c>
      <c r="H136" s="372">
        <f t="shared" si="155"/>
        <v>-3.7087344239059829E-2</v>
      </c>
      <c r="I136" s="371"/>
    </row>
    <row r="137" spans="2:9" x14ac:dyDescent="0.25">
      <c r="B137" s="369">
        <v>42586</v>
      </c>
      <c r="C137" s="370">
        <v>400</v>
      </c>
      <c r="D137" s="371">
        <v>33.520000000000003</v>
      </c>
      <c r="E137" s="371">
        <v>32.549999999999997</v>
      </c>
      <c r="F137" s="371">
        <f t="shared" si="153"/>
        <v>-388.00000000000239</v>
      </c>
      <c r="G137" s="371">
        <f t="shared" si="154"/>
        <v>13408.000000000002</v>
      </c>
      <c r="H137" s="372">
        <f t="shared" si="155"/>
        <v>-2.8937947494033587E-2</v>
      </c>
      <c r="I137" s="371"/>
    </row>
    <row r="138" spans="2:9" x14ac:dyDescent="0.25">
      <c r="B138" s="369">
        <v>42587</v>
      </c>
      <c r="C138" s="370">
        <v>400</v>
      </c>
      <c r="D138" s="371">
        <v>33.387349999999998</v>
      </c>
      <c r="E138" s="371">
        <v>32.729999999999997</v>
      </c>
      <c r="F138" s="371">
        <f t="shared" si="153"/>
        <v>-262.9400000000004</v>
      </c>
      <c r="G138" s="371">
        <f t="shared" si="154"/>
        <v>13354.939999999999</v>
      </c>
      <c r="H138" s="372">
        <f t="shared" si="155"/>
        <v>-1.9688594632398231E-2</v>
      </c>
      <c r="I138" s="371"/>
    </row>
    <row r="139" spans="2:9" x14ac:dyDescent="0.25">
      <c r="B139" s="369">
        <v>42598</v>
      </c>
      <c r="C139" s="370">
        <v>400</v>
      </c>
      <c r="D139" s="371">
        <v>33.387349999999998</v>
      </c>
      <c r="E139" s="371">
        <v>32.1</v>
      </c>
      <c r="F139" s="371">
        <f t="shared" si="153"/>
        <v>-514.93999999999858</v>
      </c>
      <c r="G139" s="371">
        <f t="shared" ref="G139:G144" si="156">D139*C139</f>
        <v>13354.939999999999</v>
      </c>
      <c r="H139" s="372">
        <f t="shared" si="155"/>
        <v>-3.8558016733882636E-2</v>
      </c>
      <c r="I139" s="371"/>
    </row>
    <row r="140" spans="2:9" x14ac:dyDescent="0.25">
      <c r="B140" s="369">
        <v>42599</v>
      </c>
      <c r="C140" s="370">
        <v>500</v>
      </c>
      <c r="D140" s="371">
        <v>33.045879999999997</v>
      </c>
      <c r="E140" s="371">
        <v>31.88</v>
      </c>
      <c r="F140" s="371">
        <f t="shared" si="153"/>
        <v>-582.93999999999892</v>
      </c>
      <c r="G140" s="371">
        <f t="shared" si="156"/>
        <v>16522.939999999999</v>
      </c>
      <c r="H140" s="372">
        <f t="shared" si="155"/>
        <v>-3.5280646180401248E-2</v>
      </c>
      <c r="I140" s="371"/>
    </row>
    <row r="141" spans="2:9" x14ac:dyDescent="0.25">
      <c r="B141" s="369">
        <v>42600</v>
      </c>
      <c r="C141" s="370">
        <v>500</v>
      </c>
      <c r="D141" s="371">
        <v>33.045879999999997</v>
      </c>
      <c r="E141" s="371">
        <v>32.46</v>
      </c>
      <c r="F141" s="371">
        <f t="shared" si="153"/>
        <v>-292.93999999999801</v>
      </c>
      <c r="G141" s="371">
        <f t="shared" si="156"/>
        <v>16522.939999999999</v>
      </c>
      <c r="H141" s="372">
        <f t="shared" si="155"/>
        <v>-1.7729290307899079E-2</v>
      </c>
      <c r="I141" s="371"/>
    </row>
    <row r="142" spans="2:9" x14ac:dyDescent="0.25">
      <c r="B142" s="369">
        <v>42601</v>
      </c>
      <c r="C142" s="370">
        <v>500</v>
      </c>
      <c r="D142" s="371">
        <v>33.045879999999997</v>
      </c>
      <c r="E142" s="371">
        <v>32.61</v>
      </c>
      <c r="F142" s="371">
        <f t="shared" si="153"/>
        <v>-217.93999999999869</v>
      </c>
      <c r="G142" s="371">
        <f t="shared" si="156"/>
        <v>16522.939999999999</v>
      </c>
      <c r="H142" s="372">
        <f t="shared" si="155"/>
        <v>-1.3190146547769266E-2</v>
      </c>
      <c r="I142" s="371"/>
    </row>
    <row r="143" spans="2:9" x14ac:dyDescent="0.25">
      <c r="B143" s="369">
        <v>42604</v>
      </c>
      <c r="C143" s="370">
        <v>500</v>
      </c>
      <c r="D143" s="371">
        <v>33.045879999999997</v>
      </c>
      <c r="E143" s="371">
        <v>32.86</v>
      </c>
      <c r="F143" s="371">
        <f t="shared" si="153"/>
        <v>-92.93999999999869</v>
      </c>
      <c r="G143" s="371">
        <f t="shared" si="156"/>
        <v>16522.939999999999</v>
      </c>
      <c r="H143" s="372">
        <f t="shared" si="155"/>
        <v>-5.624906947552839E-3</v>
      </c>
      <c r="I143" s="371"/>
    </row>
    <row r="144" spans="2:9" x14ac:dyDescent="0.25">
      <c r="B144" s="369">
        <v>42605</v>
      </c>
      <c r="C144" s="370">
        <v>500</v>
      </c>
      <c r="D144" s="371">
        <v>33.045879999999997</v>
      </c>
      <c r="E144" s="371">
        <v>32.25</v>
      </c>
      <c r="F144" s="371">
        <f t="shared" si="153"/>
        <v>-397.93999999999841</v>
      </c>
      <c r="G144" s="371">
        <f t="shared" si="156"/>
        <v>16522.939999999999</v>
      </c>
      <c r="H144" s="372">
        <f t="shared" si="155"/>
        <v>-2.4084091572080902E-2</v>
      </c>
      <c r="I144" s="371"/>
    </row>
    <row r="145" spans="2:9" x14ac:dyDescent="0.25">
      <c r="B145" s="369">
        <v>42606</v>
      </c>
      <c r="C145" s="370">
        <v>500</v>
      </c>
      <c r="D145" s="371">
        <v>33.045879999999997</v>
      </c>
      <c r="E145" s="371">
        <v>32.99</v>
      </c>
      <c r="F145" s="371">
        <f t="shared" si="153"/>
        <v>-27.939999999997411</v>
      </c>
      <c r="G145" s="371">
        <f t="shared" ref="G145:G167" si="157">D145*C145</f>
        <v>16522.939999999999</v>
      </c>
      <c r="H145" s="372">
        <f t="shared" si="155"/>
        <v>-1.6909823554402191E-3</v>
      </c>
      <c r="I145" s="371"/>
    </row>
    <row r="146" spans="2:9" x14ac:dyDescent="0.25">
      <c r="B146" s="369">
        <v>42607</v>
      </c>
      <c r="C146" s="370">
        <v>500</v>
      </c>
      <c r="D146" s="371">
        <v>33.045879999999997</v>
      </c>
      <c r="E146" s="371">
        <v>32.76</v>
      </c>
      <c r="F146" s="371">
        <f t="shared" si="153"/>
        <v>-142.9399999999994</v>
      </c>
      <c r="G146" s="371">
        <f t="shared" si="157"/>
        <v>16522.939999999999</v>
      </c>
      <c r="H146" s="372">
        <f t="shared" si="155"/>
        <v>-8.6510027876394533E-3</v>
      </c>
      <c r="I146" s="371"/>
    </row>
    <row r="147" spans="2:9" x14ac:dyDescent="0.25">
      <c r="B147" s="369">
        <v>42611</v>
      </c>
      <c r="C147" s="370">
        <v>500</v>
      </c>
      <c r="D147" s="371">
        <v>33.045879999999997</v>
      </c>
      <c r="E147" s="371">
        <v>32.33</v>
      </c>
      <c r="F147" s="371">
        <f t="shared" si="153"/>
        <v>-357.93999999999926</v>
      </c>
      <c r="G147" s="371">
        <f t="shared" si="157"/>
        <v>16522.939999999999</v>
      </c>
      <c r="H147" s="372">
        <f t="shared" si="155"/>
        <v>-2.1663214900011697E-2</v>
      </c>
      <c r="I147" s="371"/>
    </row>
    <row r="148" spans="2:9" x14ac:dyDescent="0.25">
      <c r="B148" s="369">
        <v>42612</v>
      </c>
      <c r="C148" s="370">
        <v>500</v>
      </c>
      <c r="D148" s="371">
        <v>33.045879999999997</v>
      </c>
      <c r="E148" s="371">
        <v>32.159999999999997</v>
      </c>
      <c r="F148" s="371">
        <f t="shared" si="153"/>
        <v>-442.94000000000011</v>
      </c>
      <c r="G148" s="371">
        <f t="shared" si="157"/>
        <v>16522.939999999999</v>
      </c>
      <c r="H148" s="372">
        <f t="shared" si="155"/>
        <v>-2.6807577828158919E-2</v>
      </c>
      <c r="I148" s="371"/>
    </row>
    <row r="149" spans="2:9" x14ac:dyDescent="0.25">
      <c r="B149" s="369">
        <v>42614</v>
      </c>
      <c r="C149" s="370">
        <v>500</v>
      </c>
      <c r="D149" s="371">
        <v>33.045879999999997</v>
      </c>
      <c r="E149" s="371">
        <v>31.96</v>
      </c>
      <c r="F149" s="371">
        <f t="shared" si="153"/>
        <v>-542.93999999999801</v>
      </c>
      <c r="G149" s="371">
        <f t="shared" si="157"/>
        <v>16522.939999999999</v>
      </c>
      <c r="H149" s="372">
        <f t="shared" si="155"/>
        <v>-3.2859769508331936E-2</v>
      </c>
      <c r="I149" s="371"/>
    </row>
    <row r="150" spans="2:9" x14ac:dyDescent="0.25">
      <c r="B150" s="369">
        <v>42615</v>
      </c>
      <c r="C150" s="370">
        <v>500</v>
      </c>
      <c r="D150" s="371">
        <v>32.94988</v>
      </c>
      <c r="E150" s="371">
        <v>32.5</v>
      </c>
      <c r="F150" s="371">
        <f t="shared" si="153"/>
        <v>-224.94000000000014</v>
      </c>
      <c r="G150" s="371">
        <f t="shared" si="157"/>
        <v>16474.939999999999</v>
      </c>
      <c r="H150" s="372">
        <f t="shared" si="155"/>
        <v>-1.3653463988336233E-2</v>
      </c>
      <c r="I150" s="371" t="s">
        <v>185</v>
      </c>
    </row>
    <row r="151" spans="2:9" x14ac:dyDescent="0.25">
      <c r="B151" s="369">
        <v>42619</v>
      </c>
      <c r="C151" s="370">
        <v>500</v>
      </c>
      <c r="D151" s="371">
        <v>32.94988</v>
      </c>
      <c r="E151" s="371">
        <v>32.67</v>
      </c>
      <c r="F151" s="371">
        <f t="shared" si="153"/>
        <v>-139.93999999999929</v>
      </c>
      <c r="G151" s="371">
        <f t="shared" si="157"/>
        <v>16474.939999999999</v>
      </c>
      <c r="H151" s="372">
        <f t="shared" si="155"/>
        <v>-8.4941128768905548E-3</v>
      </c>
      <c r="I151" s="371"/>
    </row>
    <row r="152" spans="2:9" x14ac:dyDescent="0.25">
      <c r="B152" s="369">
        <v>42620</v>
      </c>
      <c r="C152" s="370">
        <v>600</v>
      </c>
      <c r="D152" s="371">
        <v>32.733229999999999</v>
      </c>
      <c r="E152" s="371">
        <v>31.32</v>
      </c>
      <c r="F152" s="371">
        <f t="shared" si="153"/>
        <v>-847.93799999999919</v>
      </c>
      <c r="G152" s="371">
        <f t="shared" si="157"/>
        <v>19639.937999999998</v>
      </c>
      <c r="H152" s="372">
        <f t="shared" si="155"/>
        <v>-4.3174168879759153E-2</v>
      </c>
      <c r="I152" s="371"/>
    </row>
    <row r="153" spans="2:9" x14ac:dyDescent="0.25">
      <c r="B153" s="369">
        <v>42620</v>
      </c>
      <c r="C153" s="370">
        <v>700</v>
      </c>
      <c r="D153" s="371">
        <v>32.511339999999997</v>
      </c>
      <c r="E153" s="371">
        <v>31.32</v>
      </c>
      <c r="F153" s="371">
        <f t="shared" si="153"/>
        <v>-833.93799999999771</v>
      </c>
      <c r="G153" s="371">
        <f t="shared" si="157"/>
        <v>22757.937999999998</v>
      </c>
      <c r="H153" s="372">
        <f t="shared" si="155"/>
        <v>-3.6643829506873504E-2</v>
      </c>
      <c r="I153" s="371"/>
    </row>
    <row r="154" spans="2:9" x14ac:dyDescent="0.25">
      <c r="B154" s="369">
        <v>42621</v>
      </c>
      <c r="C154" s="370">
        <v>700</v>
      </c>
      <c r="D154" s="371">
        <v>32.511339999999997</v>
      </c>
      <c r="E154" s="371">
        <v>31.31</v>
      </c>
      <c r="F154" s="371">
        <f t="shared" si="153"/>
        <v>-840.93799999999885</v>
      </c>
      <c r="G154" s="371">
        <f t="shared" si="157"/>
        <v>22757.937999999998</v>
      </c>
      <c r="H154" s="372">
        <f t="shared" si="155"/>
        <v>-3.6951414491066759E-2</v>
      </c>
      <c r="I154" s="371"/>
    </row>
    <row r="155" spans="2:9" x14ac:dyDescent="0.25">
      <c r="B155" s="369">
        <v>42622</v>
      </c>
      <c r="C155" s="370">
        <v>700</v>
      </c>
      <c r="D155" s="371">
        <v>32.511339999999997</v>
      </c>
      <c r="E155" s="371">
        <v>31.51</v>
      </c>
      <c r="F155" s="371">
        <f t="shared" si="153"/>
        <v>-700.9379999999968</v>
      </c>
      <c r="G155" s="371">
        <f t="shared" si="157"/>
        <v>22757.937999999998</v>
      </c>
      <c r="H155" s="372">
        <f t="shared" si="155"/>
        <v>-3.0799714807202519E-2</v>
      </c>
      <c r="I155" s="371"/>
    </row>
    <row r="156" spans="2:9" x14ac:dyDescent="0.25">
      <c r="B156" s="369">
        <v>42625</v>
      </c>
      <c r="C156" s="370">
        <v>800</v>
      </c>
      <c r="D156" s="371">
        <v>32.297429999999999</v>
      </c>
      <c r="E156" s="371">
        <v>30.89</v>
      </c>
      <c r="F156" s="371">
        <f t="shared" si="153"/>
        <v>-1125.9439999999984</v>
      </c>
      <c r="G156" s="371">
        <f t="shared" si="157"/>
        <v>25837.944</v>
      </c>
      <c r="H156" s="372">
        <f t="shared" si="155"/>
        <v>-4.3577151494716394E-2</v>
      </c>
      <c r="I156" s="371"/>
    </row>
    <row r="157" spans="2:9" x14ac:dyDescent="0.25">
      <c r="B157" s="369">
        <v>42632</v>
      </c>
      <c r="C157" s="370">
        <v>800</v>
      </c>
      <c r="D157" s="371">
        <v>32.297429999999999</v>
      </c>
      <c r="E157" s="371">
        <v>30.79</v>
      </c>
      <c r="F157" s="371">
        <f t="shared" si="153"/>
        <v>-1205.9439999999995</v>
      </c>
      <c r="G157" s="371">
        <f t="shared" si="157"/>
        <v>25837.944</v>
      </c>
      <c r="H157" s="372">
        <f t="shared" si="155"/>
        <v>-4.6673373082626063E-2</v>
      </c>
      <c r="I157" s="371"/>
    </row>
    <row r="158" spans="2:9" x14ac:dyDescent="0.25">
      <c r="B158" s="369">
        <v>42633</v>
      </c>
      <c r="C158" s="370">
        <v>800</v>
      </c>
      <c r="D158" s="371">
        <v>32.297429999999999</v>
      </c>
      <c r="E158" s="371">
        <v>31.09</v>
      </c>
      <c r="F158" s="371">
        <f t="shared" si="153"/>
        <v>-965.94399999999894</v>
      </c>
      <c r="G158" s="371">
        <f t="shared" si="157"/>
        <v>25837.944</v>
      </c>
      <c r="H158" s="372">
        <f t="shared" si="155"/>
        <v>-3.7384708318897161E-2</v>
      </c>
      <c r="I158" s="371"/>
    </row>
    <row r="159" spans="2:9" x14ac:dyDescent="0.25">
      <c r="B159" s="369">
        <v>42605</v>
      </c>
      <c r="C159" s="370">
        <v>800</v>
      </c>
      <c r="D159" s="371">
        <v>32.297429999999999</v>
      </c>
      <c r="E159" s="371">
        <v>30.45</v>
      </c>
      <c r="F159" s="371">
        <f t="shared" si="153"/>
        <v>-1477.9439999999995</v>
      </c>
      <c r="G159" s="371">
        <f t="shared" si="157"/>
        <v>25837.944</v>
      </c>
      <c r="H159" s="372">
        <f t="shared" si="155"/>
        <v>-5.7200526481518785E-2</v>
      </c>
      <c r="I159" s="371"/>
    </row>
    <row r="160" spans="2:9" x14ac:dyDescent="0.25">
      <c r="B160" s="369">
        <v>42639</v>
      </c>
      <c r="C160" s="370">
        <v>900</v>
      </c>
      <c r="D160" s="371">
        <v>32.05104</v>
      </c>
      <c r="E160" s="371">
        <v>30.08</v>
      </c>
      <c r="F160" s="371">
        <f t="shared" si="153"/>
        <v>-1773.936000000002</v>
      </c>
      <c r="G160" s="371">
        <f t="shared" si="157"/>
        <v>28845.936000000002</v>
      </c>
      <c r="H160" s="372">
        <f t="shared" si="155"/>
        <v>-6.14969124246827E-2</v>
      </c>
      <c r="I160" s="371"/>
    </row>
    <row r="161" spans="2:9" x14ac:dyDescent="0.25">
      <c r="B161" s="369">
        <v>42640</v>
      </c>
      <c r="C161" s="370">
        <v>900</v>
      </c>
      <c r="D161" s="371">
        <v>32.05104</v>
      </c>
      <c r="E161" s="371">
        <v>29.9</v>
      </c>
      <c r="F161" s="371">
        <f t="shared" si="153"/>
        <v>-1935.9360000000017</v>
      </c>
      <c r="G161" s="371">
        <f t="shared" si="157"/>
        <v>28845.936000000002</v>
      </c>
      <c r="H161" s="372">
        <f t="shared" si="155"/>
        <v>-6.7112954837034985E-2</v>
      </c>
      <c r="I161" s="371"/>
    </row>
    <row r="162" spans="2:9" x14ac:dyDescent="0.25">
      <c r="B162" s="369">
        <v>42641</v>
      </c>
      <c r="C162" s="370">
        <v>900</v>
      </c>
      <c r="D162" s="371">
        <v>32.05104</v>
      </c>
      <c r="E162" s="371">
        <v>29.84</v>
      </c>
      <c r="F162" s="371">
        <f t="shared" si="153"/>
        <v>-1989.9360000000006</v>
      </c>
      <c r="G162" s="371">
        <f t="shared" si="157"/>
        <v>28845.936000000002</v>
      </c>
      <c r="H162" s="372">
        <f t="shared" si="155"/>
        <v>-6.8984968974485708E-2</v>
      </c>
      <c r="I162" s="371"/>
    </row>
    <row r="163" spans="2:9" x14ac:dyDescent="0.25">
      <c r="B163" s="369">
        <v>42643</v>
      </c>
      <c r="C163" s="370">
        <v>900</v>
      </c>
      <c r="D163" s="371">
        <v>32.05104</v>
      </c>
      <c r="E163" s="371">
        <v>29.68</v>
      </c>
      <c r="F163" s="371">
        <f t="shared" si="153"/>
        <v>-2133.9360000000006</v>
      </c>
      <c r="G163" s="371">
        <f t="shared" si="157"/>
        <v>28845.936000000002</v>
      </c>
      <c r="H163" s="372">
        <f t="shared" si="155"/>
        <v>-7.3977006674354431E-2</v>
      </c>
      <c r="I163" s="371"/>
    </row>
    <row r="164" spans="2:9" x14ac:dyDescent="0.25">
      <c r="B164" s="369">
        <v>42646</v>
      </c>
      <c r="C164" s="370">
        <v>1000</v>
      </c>
      <c r="D164" s="371">
        <v>31.78594</v>
      </c>
      <c r="E164" s="371">
        <v>29.28</v>
      </c>
      <c r="F164" s="371">
        <f t="shared" si="153"/>
        <v>-2505.9399999999991</v>
      </c>
      <c r="G164" s="371">
        <f t="shared" si="157"/>
        <v>31785.94</v>
      </c>
      <c r="H164" s="372">
        <f t="shared" si="155"/>
        <v>-7.8838001959356835E-2</v>
      </c>
      <c r="I164" s="371"/>
    </row>
    <row r="165" spans="2:9" x14ac:dyDescent="0.25">
      <c r="B165" s="369">
        <v>42648</v>
      </c>
      <c r="C165" s="370">
        <v>1000</v>
      </c>
      <c r="D165" s="371">
        <v>31.78594</v>
      </c>
      <c r="E165" s="371">
        <v>28.84</v>
      </c>
      <c r="F165" s="371">
        <f t="shared" si="153"/>
        <v>-2945.94</v>
      </c>
      <c r="G165" s="371">
        <f t="shared" si="157"/>
        <v>31785.94</v>
      </c>
      <c r="H165" s="372">
        <f t="shared" si="155"/>
        <v>-9.2680600290568724E-2</v>
      </c>
      <c r="I165" s="371"/>
    </row>
    <row r="166" spans="2:9" x14ac:dyDescent="0.25">
      <c r="B166" s="369">
        <v>42649</v>
      </c>
      <c r="C166" s="370">
        <v>1000</v>
      </c>
      <c r="D166" s="371">
        <v>31.78594</v>
      </c>
      <c r="E166" s="371">
        <v>29.37</v>
      </c>
      <c r="F166" s="371">
        <f t="shared" si="153"/>
        <v>-2415.9399999999991</v>
      </c>
      <c r="G166" s="371">
        <f t="shared" si="157"/>
        <v>31785.94</v>
      </c>
      <c r="H166" s="372">
        <f t="shared" si="155"/>
        <v>-7.6006561391608968E-2</v>
      </c>
      <c r="I166" s="371"/>
    </row>
    <row r="167" spans="2:9" x14ac:dyDescent="0.25">
      <c r="B167" s="369">
        <v>42650</v>
      </c>
      <c r="C167" s="370">
        <v>1000</v>
      </c>
      <c r="D167" s="371">
        <v>31.78594</v>
      </c>
      <c r="E167" s="371">
        <v>29</v>
      </c>
      <c r="F167" s="371">
        <f t="shared" si="153"/>
        <v>-2785.94</v>
      </c>
      <c r="G167" s="371">
        <f t="shared" si="157"/>
        <v>31785.94</v>
      </c>
      <c r="H167" s="372">
        <f t="shared" si="155"/>
        <v>-8.7646928170128049E-2</v>
      </c>
      <c r="I167" s="371"/>
    </row>
    <row r="168" spans="2:9" x14ac:dyDescent="0.25">
      <c r="B168" s="369">
        <v>42661</v>
      </c>
      <c r="C168" s="370">
        <v>1000</v>
      </c>
      <c r="D168" s="371">
        <v>31.78594</v>
      </c>
      <c r="E168" s="371">
        <v>30.64</v>
      </c>
      <c r="F168" s="371">
        <f t="shared" ref="F168:F173" si="158">C168*(E168-D168)</f>
        <v>-1145.9399999999996</v>
      </c>
      <c r="G168" s="371">
        <f t="shared" ref="G168:G173" si="159">D168*C168</f>
        <v>31785.94</v>
      </c>
      <c r="H168" s="372">
        <f t="shared" ref="H168:H173" si="160">(E168-D168)/D168</f>
        <v>-3.6051788935611138E-2</v>
      </c>
      <c r="I168" s="371"/>
    </row>
    <row r="169" spans="2:9" x14ac:dyDescent="0.25">
      <c r="B169" s="369">
        <v>42671</v>
      </c>
      <c r="C169" s="370">
        <v>900</v>
      </c>
      <c r="D169" s="371">
        <v>31.837789999999998</v>
      </c>
      <c r="E169" s="371">
        <v>31.26</v>
      </c>
      <c r="F169" s="371">
        <f t="shared" si="158"/>
        <v>-520.01099999999701</v>
      </c>
      <c r="G169" s="371">
        <f t="shared" si="159"/>
        <v>28654.010999999999</v>
      </c>
      <c r="H169" s="372">
        <f t="shared" si="160"/>
        <v>-1.8147930493919232E-2</v>
      </c>
      <c r="I169" s="371"/>
    </row>
    <row r="170" spans="2:9" x14ac:dyDescent="0.25">
      <c r="B170" s="369">
        <v>42674</v>
      </c>
      <c r="C170" s="370">
        <v>1000</v>
      </c>
      <c r="D170" s="371">
        <v>31.763999999999999</v>
      </c>
      <c r="E170" s="371">
        <v>30.98</v>
      </c>
      <c r="F170" s="371">
        <f t="shared" si="158"/>
        <v>-783.99999999999886</v>
      </c>
      <c r="G170" s="371">
        <f t="shared" si="159"/>
        <v>31764</v>
      </c>
      <c r="H170" s="372">
        <f t="shared" si="160"/>
        <v>-2.468202997103636E-2</v>
      </c>
      <c r="I170" s="371"/>
    </row>
    <row r="171" spans="2:9" x14ac:dyDescent="0.25">
      <c r="B171" s="369">
        <v>42676</v>
      </c>
      <c r="C171" s="370">
        <v>500</v>
      </c>
      <c r="D171" s="371">
        <v>31.518719999999998</v>
      </c>
      <c r="E171" s="371">
        <v>32.22</v>
      </c>
      <c r="F171" s="371">
        <f t="shared" si="158"/>
        <v>350.64000000000027</v>
      </c>
      <c r="G171" s="371">
        <f t="shared" si="159"/>
        <v>15759.359999999999</v>
      </c>
      <c r="H171" s="372">
        <f t="shared" si="160"/>
        <v>2.2249634502923995E-2</v>
      </c>
      <c r="I171" s="371">
        <v>31</v>
      </c>
    </row>
    <row r="172" spans="2:9" x14ac:dyDescent="0.25">
      <c r="B172" s="369">
        <v>42677</v>
      </c>
      <c r="C172" s="370">
        <v>800</v>
      </c>
      <c r="D172" s="371">
        <v>31.51858</v>
      </c>
      <c r="E172" s="371">
        <v>31.02</v>
      </c>
      <c r="F172" s="371">
        <f t="shared" si="158"/>
        <v>-398.86400000000037</v>
      </c>
      <c r="G172" s="371">
        <f t="shared" si="159"/>
        <v>25214.864000000001</v>
      </c>
      <c r="H172" s="372">
        <f t="shared" si="160"/>
        <v>-1.5818606041262027E-2</v>
      </c>
      <c r="I172" s="371"/>
    </row>
    <row r="173" spans="2:9" x14ac:dyDescent="0.25">
      <c r="B173" s="369">
        <v>42701</v>
      </c>
      <c r="C173" s="370">
        <v>400</v>
      </c>
      <c r="D173" s="371">
        <v>30.677849999999999</v>
      </c>
      <c r="E173" s="371">
        <v>33.880000000000003</v>
      </c>
      <c r="F173" s="371">
        <f t="shared" si="158"/>
        <v>1280.8600000000013</v>
      </c>
      <c r="G173" s="371">
        <f t="shared" si="159"/>
        <v>12271.14</v>
      </c>
      <c r="H173" s="372">
        <f t="shared" si="160"/>
        <v>0.10437987016691207</v>
      </c>
      <c r="I173" s="371"/>
    </row>
    <row r="174" spans="2:9" x14ac:dyDescent="0.25">
      <c r="B174" s="369">
        <v>42704</v>
      </c>
      <c r="C174" s="370">
        <v>400</v>
      </c>
      <c r="D174" s="371">
        <v>30.677849999999999</v>
      </c>
      <c r="E174" s="371">
        <v>32.299999999999997</v>
      </c>
      <c r="F174" s="371">
        <f t="shared" ref="F174:F180" si="161">C174*(E174-D174)</f>
        <v>648.8599999999991</v>
      </c>
      <c r="G174" s="371">
        <f t="shared" ref="G174:G180" si="162">D174*C174</f>
        <v>12271.14</v>
      </c>
      <c r="H174" s="372">
        <f t="shared" ref="H174:H180" si="163">(E174-D174)/D174</f>
        <v>5.2876912821465581E-2</v>
      </c>
      <c r="I174" s="371"/>
    </row>
    <row r="175" spans="2:9" x14ac:dyDescent="0.25">
      <c r="B175" s="369">
        <v>42706</v>
      </c>
      <c r="C175" s="370">
        <v>400</v>
      </c>
      <c r="D175" s="371">
        <v>30.527850000000001</v>
      </c>
      <c r="E175" s="371">
        <v>33.299999999999997</v>
      </c>
      <c r="F175" s="371">
        <f t="shared" si="161"/>
        <v>1108.8599999999985</v>
      </c>
      <c r="G175" s="371">
        <f t="shared" si="162"/>
        <v>12211.14</v>
      </c>
      <c r="H175" s="372">
        <f t="shared" si="163"/>
        <v>9.0807246497869851E-2</v>
      </c>
      <c r="I175" s="371"/>
    </row>
    <row r="176" spans="2:9" x14ac:dyDescent="0.25">
      <c r="B176" s="369">
        <v>42712</v>
      </c>
      <c r="C176" s="370">
        <v>300</v>
      </c>
      <c r="D176" s="371">
        <v>29.297370000000001</v>
      </c>
      <c r="E176" s="371">
        <v>34.19</v>
      </c>
      <c r="F176" s="371">
        <f t="shared" si="161"/>
        <v>1467.7889999999991</v>
      </c>
      <c r="G176" s="371">
        <f t="shared" si="162"/>
        <v>8789.2109999999993</v>
      </c>
      <c r="H176" s="372">
        <f t="shared" si="163"/>
        <v>0.16699894905242338</v>
      </c>
      <c r="I176" s="371"/>
    </row>
    <row r="177" spans="2:9" x14ac:dyDescent="0.25">
      <c r="B177" s="369">
        <v>42713</v>
      </c>
      <c r="C177" s="370">
        <v>200</v>
      </c>
      <c r="D177" s="371">
        <v>26.551449999999999</v>
      </c>
      <c r="E177" s="371">
        <v>34.78</v>
      </c>
      <c r="F177" s="371">
        <f t="shared" si="161"/>
        <v>1645.7100000000005</v>
      </c>
      <c r="G177" s="371">
        <f t="shared" si="162"/>
        <v>5310.29</v>
      </c>
      <c r="H177" s="372">
        <f t="shared" si="163"/>
        <v>0.30990962828772073</v>
      </c>
      <c r="I177" s="371"/>
    </row>
    <row r="178" spans="2:9" x14ac:dyDescent="0.25">
      <c r="B178" s="369">
        <v>42716</v>
      </c>
      <c r="C178" s="370">
        <v>300</v>
      </c>
      <c r="D178" s="371">
        <v>29.0943</v>
      </c>
      <c r="E178" s="371">
        <v>34.22</v>
      </c>
      <c r="F178" s="371">
        <f t="shared" si="161"/>
        <v>1537.7099999999996</v>
      </c>
      <c r="G178" s="371">
        <f t="shared" si="162"/>
        <v>8728.2900000000009</v>
      </c>
      <c r="H178" s="372">
        <f t="shared" si="163"/>
        <v>0.17617540205469795</v>
      </c>
      <c r="I178" s="371"/>
    </row>
    <row r="179" spans="2:9" x14ac:dyDescent="0.25">
      <c r="B179" s="369">
        <v>42718</v>
      </c>
      <c r="C179" s="370">
        <v>100</v>
      </c>
      <c r="D179" s="371">
        <v>17.179500000000001</v>
      </c>
      <c r="E179" s="371">
        <v>34.72</v>
      </c>
      <c r="F179" s="371">
        <f t="shared" si="161"/>
        <v>1754.0499999999997</v>
      </c>
      <c r="G179" s="371">
        <f t="shared" si="162"/>
        <v>1717.95</v>
      </c>
      <c r="H179" s="372">
        <f t="shared" si="163"/>
        <v>1.021013417154166</v>
      </c>
      <c r="I179" s="371"/>
    </row>
    <row r="180" spans="2:9" x14ac:dyDescent="0.25">
      <c r="B180" s="369">
        <v>42718</v>
      </c>
      <c r="C180" s="370">
        <v>300</v>
      </c>
      <c r="D180" s="371">
        <v>28.9132</v>
      </c>
      <c r="E180" s="371">
        <v>34.72</v>
      </c>
      <c r="F180" s="371">
        <f t="shared" si="161"/>
        <v>1742.0399999999997</v>
      </c>
      <c r="G180" s="371">
        <f t="shared" si="162"/>
        <v>8673.9599999999991</v>
      </c>
      <c r="H180" s="372">
        <f t="shared" si="163"/>
        <v>0.20083560449898313</v>
      </c>
      <c r="I180" s="371"/>
    </row>
    <row r="181" spans="2:9" x14ac:dyDescent="0.25">
      <c r="B181" s="369">
        <v>42729</v>
      </c>
      <c r="C181" s="370">
        <v>300</v>
      </c>
      <c r="D181" s="371">
        <v>28.9132</v>
      </c>
      <c r="E181" s="371">
        <v>35.08</v>
      </c>
      <c r="F181" s="371">
        <f>C181*(E181-D181)</f>
        <v>1850.0399999999995</v>
      </c>
      <c r="G181" s="371">
        <f>D181*C181</f>
        <v>8673.9599999999991</v>
      </c>
      <c r="H181" s="372">
        <f>(E181-D181)/D181</f>
        <v>0.21328666491429515</v>
      </c>
      <c r="I181" s="371"/>
    </row>
    <row r="182" spans="2:9" x14ac:dyDescent="0.25">
      <c r="B182" s="369">
        <v>42745</v>
      </c>
      <c r="C182" s="370">
        <v>400</v>
      </c>
      <c r="D182" s="371">
        <v>30.12988</v>
      </c>
      <c r="E182" s="371">
        <v>33.19</v>
      </c>
      <c r="F182" s="371">
        <f>C182*(E182-D182)</f>
        <v>1224.0479999999991</v>
      </c>
      <c r="G182" s="371">
        <f>D182*C182</f>
        <v>12051.951999999999</v>
      </c>
      <c r="H182" s="372">
        <f>(E182-D182)/D182</f>
        <v>0.1015642943151449</v>
      </c>
      <c r="I182" s="371"/>
    </row>
    <row r="183" spans="2:9" x14ac:dyDescent="0.25">
      <c r="B183" s="369">
        <v>42752</v>
      </c>
      <c r="C183" s="370">
        <v>300</v>
      </c>
      <c r="D183" s="371">
        <v>28.620100000000001</v>
      </c>
      <c r="E183" s="371">
        <v>34.840000000000003</v>
      </c>
      <c r="F183" s="371">
        <f>C183*(E183-D183)</f>
        <v>1865.9700000000007</v>
      </c>
      <c r="G183" s="371">
        <f>D183*C183</f>
        <v>8586.0300000000007</v>
      </c>
      <c r="H183" s="372">
        <f>(E183-D183)/D183</f>
        <v>0.21732628467405782</v>
      </c>
      <c r="I183" s="371">
        <v>28.25</v>
      </c>
    </row>
    <row r="184" spans="2:9" x14ac:dyDescent="0.25">
      <c r="B184" s="369">
        <v>42754</v>
      </c>
      <c r="C184" s="370">
        <v>400</v>
      </c>
      <c r="D184" s="371">
        <v>30.032579999999999</v>
      </c>
      <c r="E184" s="371">
        <v>34.26</v>
      </c>
      <c r="F184" s="371">
        <f>C184*(E184-D184)</f>
        <v>1690.9679999999994</v>
      </c>
      <c r="G184" s="371">
        <f>D184*C184</f>
        <v>12013.031999999999</v>
      </c>
      <c r="H184" s="372">
        <f>(E184-D184)/D184</f>
        <v>0.14076113340911767</v>
      </c>
      <c r="I184" s="371"/>
    </row>
    <row r="202" spans="1:13" x14ac:dyDescent="0.25">
      <c r="L202" t="s">
        <v>65</v>
      </c>
      <c r="M202" s="2">
        <f>M230+K230-F230</f>
        <v>1747.9699999999939</v>
      </c>
    </row>
    <row r="203" spans="1:13" x14ac:dyDescent="0.25">
      <c r="A203" s="256" t="s">
        <v>1</v>
      </c>
      <c r="B203" s="256" t="s">
        <v>2</v>
      </c>
      <c r="C203" s="256" t="s">
        <v>4</v>
      </c>
      <c r="D203" s="257" t="s">
        <v>5</v>
      </c>
      <c r="E203" s="257" t="s">
        <v>94</v>
      </c>
      <c r="F203" s="257" t="s">
        <v>60</v>
      </c>
      <c r="G203" s="256" t="s">
        <v>3</v>
      </c>
      <c r="H203" s="256" t="s">
        <v>6</v>
      </c>
      <c r="I203" s="257" t="s">
        <v>7</v>
      </c>
      <c r="J203" s="257" t="s">
        <v>95</v>
      </c>
      <c r="K203" s="257" t="s">
        <v>61</v>
      </c>
      <c r="L203" s="256" t="s">
        <v>37</v>
      </c>
      <c r="M203" s="256" t="s">
        <v>38</v>
      </c>
    </row>
    <row r="204" spans="1:13" x14ac:dyDescent="0.25">
      <c r="A204" s="258" t="s">
        <v>196</v>
      </c>
      <c r="B204" s="259">
        <v>42482</v>
      </c>
      <c r="C204" s="254">
        <v>80</v>
      </c>
      <c r="D204" s="255">
        <v>36.01</v>
      </c>
      <c r="E204" s="255">
        <v>0</v>
      </c>
      <c r="F204" s="255">
        <f t="shared" ref="F204:F224" si="164">D204*C204+E204</f>
        <v>2880.7999999999997</v>
      </c>
      <c r="G204" s="259">
        <v>42514</v>
      </c>
      <c r="H204" s="254">
        <v>40</v>
      </c>
      <c r="I204" s="255">
        <v>35.35</v>
      </c>
      <c r="J204" s="255">
        <v>0.03</v>
      </c>
      <c r="K204" s="255">
        <f>I204*H204-J204</f>
        <v>1413.97</v>
      </c>
      <c r="L204" s="259">
        <v>42522</v>
      </c>
      <c r="M204" s="255">
        <v>10.5</v>
      </c>
    </row>
    <row r="205" spans="1:13" x14ac:dyDescent="0.25">
      <c r="A205" s="261" t="s">
        <v>71</v>
      </c>
      <c r="B205" s="259">
        <v>42482</v>
      </c>
      <c r="C205" s="254">
        <v>20</v>
      </c>
      <c r="D205" s="255">
        <v>35.549999999999997</v>
      </c>
      <c r="E205" s="255">
        <v>0</v>
      </c>
      <c r="F205" s="255">
        <f t="shared" si="164"/>
        <v>711</v>
      </c>
      <c r="G205" s="254"/>
      <c r="H205" s="254"/>
      <c r="I205" s="255"/>
      <c r="J205" s="255"/>
      <c r="K205" s="255"/>
      <c r="L205" s="259">
        <v>42614</v>
      </c>
      <c r="M205" s="255">
        <v>48</v>
      </c>
    </row>
    <row r="206" spans="1:13" x14ac:dyDescent="0.25">
      <c r="A206" s="254"/>
      <c r="B206" s="259">
        <v>42508</v>
      </c>
      <c r="C206" s="254">
        <v>40</v>
      </c>
      <c r="D206" s="255">
        <v>34.19</v>
      </c>
      <c r="E206" s="255">
        <v>0</v>
      </c>
      <c r="F206" s="255">
        <f t="shared" si="164"/>
        <v>1367.6</v>
      </c>
      <c r="G206" s="259">
        <v>42521</v>
      </c>
      <c r="H206" s="260">
        <v>40</v>
      </c>
      <c r="I206" s="255">
        <v>35.99</v>
      </c>
      <c r="J206" s="255">
        <v>0.03</v>
      </c>
      <c r="K206" s="255">
        <f t="shared" ref="K206:K221" si="165">I206*H206-J206</f>
        <v>1439.5700000000002</v>
      </c>
      <c r="L206" s="259">
        <v>42706</v>
      </c>
      <c r="M206" s="255">
        <v>60</v>
      </c>
    </row>
    <row r="207" spans="1:13" x14ac:dyDescent="0.25">
      <c r="A207" s="254"/>
      <c r="B207" s="259">
        <v>42509</v>
      </c>
      <c r="C207" s="254">
        <v>100</v>
      </c>
      <c r="D207" s="255">
        <v>34.49</v>
      </c>
      <c r="E207" s="255">
        <v>0</v>
      </c>
      <c r="F207" s="255">
        <f t="shared" si="164"/>
        <v>3449</v>
      </c>
      <c r="G207" s="259">
        <v>42531</v>
      </c>
      <c r="H207" s="260">
        <v>100</v>
      </c>
      <c r="I207" s="255">
        <v>36.99</v>
      </c>
      <c r="J207" s="255">
        <v>0.08</v>
      </c>
      <c r="K207" s="255">
        <f t="shared" si="165"/>
        <v>3698.92</v>
      </c>
      <c r="L207" s="254"/>
      <c r="M207" s="254"/>
    </row>
    <row r="208" spans="1:13" x14ac:dyDescent="0.25">
      <c r="A208" s="254"/>
      <c r="B208" s="259">
        <v>42536</v>
      </c>
      <c r="C208" s="254">
        <v>100</v>
      </c>
      <c r="D208" s="255">
        <v>35.39</v>
      </c>
      <c r="E208" s="255">
        <v>0</v>
      </c>
      <c r="F208" s="255">
        <f t="shared" si="164"/>
        <v>3539</v>
      </c>
      <c r="G208" s="259">
        <v>42594</v>
      </c>
      <c r="H208" s="260">
        <v>100</v>
      </c>
      <c r="I208" s="255">
        <v>32.58</v>
      </c>
      <c r="J208" s="255">
        <v>7.0000000000000007E-2</v>
      </c>
      <c r="K208" s="255">
        <f t="shared" si="165"/>
        <v>3257.93</v>
      </c>
      <c r="L208" s="254"/>
      <c r="M208" s="254"/>
    </row>
    <row r="209" spans="1:13" x14ac:dyDescent="0.25">
      <c r="A209" s="254"/>
      <c r="B209" s="259">
        <v>42579</v>
      </c>
      <c r="C209" s="254">
        <v>40</v>
      </c>
      <c r="D209" s="255">
        <v>35</v>
      </c>
      <c r="E209" s="255">
        <v>0</v>
      </c>
      <c r="F209" s="255">
        <f t="shared" si="164"/>
        <v>1400</v>
      </c>
      <c r="G209" s="259">
        <v>42671</v>
      </c>
      <c r="H209" s="260">
        <v>100</v>
      </c>
      <c r="I209" s="255">
        <v>31.32</v>
      </c>
      <c r="J209" s="255">
        <v>7.0000000000000007E-2</v>
      </c>
      <c r="K209" s="255">
        <f t="shared" si="165"/>
        <v>3131.93</v>
      </c>
      <c r="L209" s="254"/>
      <c r="M209" s="254"/>
    </row>
    <row r="210" spans="1:13" x14ac:dyDescent="0.25">
      <c r="A210" s="254"/>
      <c r="B210" s="259">
        <v>42579</v>
      </c>
      <c r="C210" s="254">
        <v>30</v>
      </c>
      <c r="D210" s="255">
        <v>34.57</v>
      </c>
      <c r="E210" s="255">
        <v>-7.0000000000000007E-2</v>
      </c>
      <c r="F210" s="255">
        <f t="shared" si="164"/>
        <v>1037.03</v>
      </c>
      <c r="G210" s="259">
        <v>42676</v>
      </c>
      <c r="H210" s="260">
        <v>200</v>
      </c>
      <c r="I210" s="255">
        <v>31.83</v>
      </c>
      <c r="J210" s="255">
        <v>0.14000000000000001</v>
      </c>
      <c r="K210" s="255">
        <f t="shared" si="165"/>
        <v>6365.86</v>
      </c>
      <c r="L210" s="254"/>
      <c r="M210" s="254"/>
    </row>
    <row r="211" spans="1:13" x14ac:dyDescent="0.25">
      <c r="A211" s="254"/>
      <c r="B211" s="259">
        <v>42580</v>
      </c>
      <c r="C211" s="254">
        <v>30</v>
      </c>
      <c r="D211" s="255">
        <v>33.880000000000003</v>
      </c>
      <c r="E211" s="255">
        <v>0</v>
      </c>
      <c r="F211" s="255">
        <f t="shared" si="164"/>
        <v>1016.4000000000001</v>
      </c>
      <c r="G211" s="259">
        <v>42676</v>
      </c>
      <c r="H211" s="260">
        <v>100</v>
      </c>
      <c r="I211" s="255">
        <v>31.98</v>
      </c>
      <c r="J211" s="255">
        <v>7.0000000000000007E-2</v>
      </c>
      <c r="K211" s="255">
        <f t="shared" si="165"/>
        <v>3197.93</v>
      </c>
      <c r="L211" s="254"/>
      <c r="M211" s="254"/>
    </row>
    <row r="212" spans="1:13" x14ac:dyDescent="0.25">
      <c r="A212" s="254"/>
      <c r="B212" s="259">
        <v>42584</v>
      </c>
      <c r="C212" s="254">
        <v>40</v>
      </c>
      <c r="D212" s="255">
        <v>33.049999999999997</v>
      </c>
      <c r="E212" s="255">
        <v>0</v>
      </c>
      <c r="F212" s="255">
        <f t="shared" si="164"/>
        <v>1322</v>
      </c>
      <c r="G212" s="259">
        <v>42676</v>
      </c>
      <c r="H212" s="260">
        <v>100</v>
      </c>
      <c r="I212" s="255">
        <v>32.18</v>
      </c>
      <c r="J212" s="255">
        <v>7.0000000000000007E-2</v>
      </c>
      <c r="K212" s="255">
        <f t="shared" si="165"/>
        <v>3217.93</v>
      </c>
      <c r="L212" s="254"/>
      <c r="M212" s="254"/>
    </row>
    <row r="213" spans="1:13" x14ac:dyDescent="0.25">
      <c r="A213" s="254"/>
      <c r="B213" s="259">
        <v>42586</v>
      </c>
      <c r="C213" s="254">
        <v>100</v>
      </c>
      <c r="D213" s="255">
        <v>32.479999999999997</v>
      </c>
      <c r="E213" s="255">
        <v>0</v>
      </c>
      <c r="F213" s="255">
        <f t="shared" si="164"/>
        <v>3247.9999999999995</v>
      </c>
      <c r="G213" s="259">
        <v>42676</v>
      </c>
      <c r="H213" s="260">
        <v>100</v>
      </c>
      <c r="I213" s="255">
        <v>32.229999999999997</v>
      </c>
      <c r="J213" s="255">
        <v>7.0000000000000007E-2</v>
      </c>
      <c r="K213" s="255">
        <f t="shared" si="165"/>
        <v>3222.9299999999994</v>
      </c>
      <c r="L213" s="254"/>
      <c r="M213" s="254"/>
    </row>
    <row r="214" spans="1:13" x14ac:dyDescent="0.25">
      <c r="A214" s="254"/>
      <c r="B214" s="259">
        <v>42593</v>
      </c>
      <c r="C214" s="254">
        <v>100</v>
      </c>
      <c r="D214" s="255">
        <v>32.049999999999997</v>
      </c>
      <c r="E214" s="255">
        <v>0</v>
      </c>
      <c r="F214" s="255">
        <f t="shared" si="164"/>
        <v>3204.9999999999995</v>
      </c>
      <c r="G214" s="259">
        <v>42683</v>
      </c>
      <c r="H214" s="260">
        <v>100</v>
      </c>
      <c r="I214" s="255">
        <v>32.33</v>
      </c>
      <c r="J214" s="255">
        <v>7.0000000000000007E-2</v>
      </c>
      <c r="K214" s="255">
        <f t="shared" si="165"/>
        <v>3232.93</v>
      </c>
      <c r="L214" s="254"/>
      <c r="M214" s="254"/>
    </row>
    <row r="215" spans="1:13" x14ac:dyDescent="0.25">
      <c r="A215" s="254"/>
      <c r="B215" s="259">
        <v>42599</v>
      </c>
      <c r="C215" s="254">
        <v>100</v>
      </c>
      <c r="D215" s="255">
        <v>31.68</v>
      </c>
      <c r="E215" s="255">
        <v>0</v>
      </c>
      <c r="F215" s="255">
        <f t="shared" si="164"/>
        <v>3168</v>
      </c>
      <c r="G215" s="259">
        <v>42683</v>
      </c>
      <c r="H215" s="260">
        <v>200</v>
      </c>
      <c r="I215" s="255">
        <v>32.08</v>
      </c>
      <c r="J215" s="255">
        <v>0.14000000000000001</v>
      </c>
      <c r="K215" s="255">
        <f t="shared" si="165"/>
        <v>6415.86</v>
      </c>
      <c r="L215" s="254"/>
      <c r="M215" s="254"/>
    </row>
    <row r="216" spans="1:13" x14ac:dyDescent="0.25">
      <c r="A216" s="254"/>
      <c r="B216" s="259">
        <v>42620</v>
      </c>
      <c r="C216" s="254">
        <v>100</v>
      </c>
      <c r="D216" s="255">
        <v>31.65</v>
      </c>
      <c r="E216" s="255">
        <v>0</v>
      </c>
      <c r="F216" s="255">
        <f t="shared" si="164"/>
        <v>3165</v>
      </c>
      <c r="G216" s="259">
        <v>42684</v>
      </c>
      <c r="H216" s="260">
        <v>100</v>
      </c>
      <c r="I216" s="255">
        <v>32.950000000000003</v>
      </c>
      <c r="J216" s="255">
        <v>7.0000000000000007E-2</v>
      </c>
      <c r="K216" s="255">
        <f t="shared" si="165"/>
        <v>3294.9300000000003</v>
      </c>
      <c r="L216" s="254"/>
      <c r="M216" s="254"/>
    </row>
    <row r="217" spans="1:13" x14ac:dyDescent="0.25">
      <c r="A217" s="254"/>
      <c r="B217" s="259">
        <v>42620</v>
      </c>
      <c r="C217" s="254">
        <v>100</v>
      </c>
      <c r="D217" s="255">
        <v>31.18</v>
      </c>
      <c r="E217" s="255">
        <v>0</v>
      </c>
      <c r="F217" s="255">
        <f t="shared" si="164"/>
        <v>3118</v>
      </c>
      <c r="G217" s="259">
        <v>42712</v>
      </c>
      <c r="H217" s="260">
        <v>100</v>
      </c>
      <c r="I217" s="255">
        <v>34.22</v>
      </c>
      <c r="J217" s="255">
        <v>7.0000000000000007E-2</v>
      </c>
      <c r="K217" s="255">
        <f t="shared" si="165"/>
        <v>3421.93</v>
      </c>
      <c r="L217" s="254"/>
      <c r="M217" s="254"/>
    </row>
    <row r="218" spans="1:13" x14ac:dyDescent="0.25">
      <c r="A218" s="254"/>
      <c r="B218" s="259">
        <v>42625</v>
      </c>
      <c r="C218" s="254">
        <v>100</v>
      </c>
      <c r="D218" s="255">
        <v>30.8</v>
      </c>
      <c r="E218" s="255">
        <v>0</v>
      </c>
      <c r="F218" s="255">
        <f t="shared" si="164"/>
        <v>3080</v>
      </c>
      <c r="G218" s="259">
        <v>42713</v>
      </c>
      <c r="H218" s="260">
        <v>100</v>
      </c>
      <c r="I218" s="255">
        <v>34.79</v>
      </c>
      <c r="J218" s="255">
        <v>0.08</v>
      </c>
      <c r="K218" s="255">
        <f t="shared" si="165"/>
        <v>3478.92</v>
      </c>
      <c r="L218" s="254"/>
      <c r="M218" s="254"/>
    </row>
    <row r="219" spans="1:13" x14ac:dyDescent="0.25">
      <c r="A219" s="254"/>
      <c r="B219" s="259">
        <v>42639</v>
      </c>
      <c r="C219" s="254">
        <v>100</v>
      </c>
      <c r="D219" s="255">
        <v>30.08</v>
      </c>
      <c r="E219" s="255">
        <v>0</v>
      </c>
      <c r="F219" s="255">
        <f t="shared" si="164"/>
        <v>3008</v>
      </c>
      <c r="G219" s="259">
        <v>42718</v>
      </c>
      <c r="H219" s="260">
        <v>100</v>
      </c>
      <c r="I219" s="255">
        <v>35.21</v>
      </c>
      <c r="J219" s="255">
        <v>0.57999999999999996</v>
      </c>
      <c r="K219" s="255">
        <f t="shared" si="165"/>
        <v>3520.42</v>
      </c>
      <c r="L219" s="254"/>
      <c r="M219" s="254"/>
    </row>
    <row r="220" spans="1:13" x14ac:dyDescent="0.25">
      <c r="A220" s="254"/>
      <c r="B220" s="259">
        <v>42646</v>
      </c>
      <c r="C220" s="254">
        <v>100</v>
      </c>
      <c r="D220" s="255">
        <v>29.4</v>
      </c>
      <c r="E220" s="255">
        <v>0</v>
      </c>
      <c r="F220" s="255">
        <f t="shared" si="164"/>
        <v>2940</v>
      </c>
      <c r="G220" s="259">
        <v>42718</v>
      </c>
      <c r="H220" s="260">
        <v>100</v>
      </c>
      <c r="I220" s="255">
        <v>34.9</v>
      </c>
      <c r="J220" s="255">
        <v>0.08</v>
      </c>
      <c r="K220" s="255">
        <f t="shared" si="165"/>
        <v>3489.92</v>
      </c>
      <c r="L220" s="254"/>
      <c r="M220" s="254"/>
    </row>
    <row r="221" spans="1:13" x14ac:dyDescent="0.25">
      <c r="A221" s="254"/>
      <c r="B221" s="259">
        <v>42674</v>
      </c>
      <c r="C221" s="254">
        <v>100</v>
      </c>
      <c r="D221" s="255">
        <v>31.1</v>
      </c>
      <c r="E221" s="255">
        <v>0</v>
      </c>
      <c r="F221" s="255">
        <f t="shared" si="164"/>
        <v>3110</v>
      </c>
      <c r="G221" s="259">
        <v>42752</v>
      </c>
      <c r="H221" s="260">
        <v>100</v>
      </c>
      <c r="I221" s="255">
        <v>34.659999999999997</v>
      </c>
      <c r="J221" s="255">
        <v>0.08</v>
      </c>
      <c r="K221" s="255">
        <f t="shared" si="165"/>
        <v>3465.9199999999996</v>
      </c>
      <c r="L221" s="254"/>
      <c r="M221" s="254"/>
    </row>
    <row r="222" spans="1:13" x14ac:dyDescent="0.25">
      <c r="A222" s="254"/>
      <c r="B222" s="259">
        <v>42677</v>
      </c>
      <c r="C222" s="254">
        <v>200</v>
      </c>
      <c r="D222" s="255">
        <v>31.68</v>
      </c>
      <c r="E222" s="255">
        <v>0</v>
      </c>
      <c r="F222" s="255">
        <f t="shared" si="164"/>
        <v>6336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>
        <v>42677</v>
      </c>
      <c r="C223" s="254">
        <v>100</v>
      </c>
      <c r="D223" s="255">
        <v>31.2</v>
      </c>
      <c r="E223" s="255">
        <v>-0.5</v>
      </c>
      <c r="F223" s="255">
        <f t="shared" si="164"/>
        <v>3119.5</v>
      </c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>
        <v>42716</v>
      </c>
      <c r="C224" s="254">
        <v>100</v>
      </c>
      <c r="D224" s="255">
        <v>34.18</v>
      </c>
      <c r="E224" s="255">
        <v>0</v>
      </c>
      <c r="F224" s="255">
        <f t="shared" si="164"/>
        <v>3418</v>
      </c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9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9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254"/>
      <c r="B228" s="254"/>
      <c r="C228" s="254"/>
      <c r="D228" s="255"/>
      <c r="E228" s="255"/>
      <c r="F228" s="255"/>
      <c r="G228" s="254"/>
      <c r="H228" s="254"/>
      <c r="I228" s="255"/>
      <c r="J228" s="255"/>
      <c r="K228" s="255"/>
      <c r="L228" s="254"/>
      <c r="M228" s="254"/>
    </row>
    <row r="229" spans="1:13" x14ac:dyDescent="0.25">
      <c r="A229" s="254"/>
      <c r="B229" s="254"/>
      <c r="C229" s="254"/>
      <c r="D229" s="255"/>
      <c r="E229" s="255"/>
      <c r="F229" s="255"/>
      <c r="G229" s="254"/>
      <c r="H229" s="254"/>
      <c r="I229" s="255"/>
      <c r="J229" s="255"/>
      <c r="K229" s="255"/>
      <c r="L229" s="254"/>
      <c r="M229" s="254"/>
    </row>
    <row r="230" spans="1:13" x14ac:dyDescent="0.25">
      <c r="A230" s="31" t="s">
        <v>81</v>
      </c>
      <c r="B230" s="14"/>
      <c r="C230" s="14">
        <f>SUM(C204:C227)</f>
        <v>1780</v>
      </c>
      <c r="D230" s="18"/>
      <c r="E230" s="18"/>
      <c r="F230" s="18">
        <f>SUM(F204:F227)</f>
        <v>57638.33</v>
      </c>
      <c r="G230" s="14"/>
      <c r="H230" s="14">
        <f>SUM(H204:H229)</f>
        <v>1780</v>
      </c>
      <c r="I230" s="18"/>
      <c r="J230" s="18"/>
      <c r="K230" s="18">
        <f>SUM(K204:K229)</f>
        <v>59267.799999999996</v>
      </c>
      <c r="L230" s="14"/>
      <c r="M230" s="18">
        <f>SUM(M204:M229)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5:F119">
    <cfRule type="expression" dxfId="2012" priority="69">
      <formula>F115&gt;0</formula>
    </cfRule>
    <cfRule type="expression" dxfId="2011" priority="70">
      <formula>F115&lt;0</formula>
    </cfRule>
  </conditionalFormatting>
  <conditionalFormatting sqref="F120:F133 F136:F180 F183:F184">
    <cfRule type="expression" dxfId="2010" priority="65">
      <formula>F120&gt;0</formula>
    </cfRule>
    <cfRule type="expression" dxfId="2009" priority="66">
      <formula>F120&lt;0</formula>
    </cfRule>
  </conditionalFormatting>
  <conditionalFormatting sqref="F120:F133 F136:F180 F183:F184">
    <cfRule type="expression" dxfId="2008" priority="67">
      <formula>F120&gt;0</formula>
    </cfRule>
    <cfRule type="expression" dxfId="2007" priority="68">
      <formula>F120&lt;0</formula>
    </cfRule>
  </conditionalFormatting>
  <conditionalFormatting sqref="H115:H133 H136:H180 H183:H184">
    <cfRule type="expression" dxfId="2006" priority="63">
      <formula>H115&gt;0</formula>
    </cfRule>
    <cfRule type="expression" dxfId="2005" priority="64">
      <formula>H115&lt;0</formula>
    </cfRule>
  </conditionalFormatting>
  <conditionalFormatting sqref="F111:F114">
    <cfRule type="expression" dxfId="2004" priority="57">
      <formula>F111&gt;0</formula>
    </cfRule>
    <cfRule type="expression" dxfId="2003" priority="58">
      <formula>F111&lt;0</formula>
    </cfRule>
  </conditionalFormatting>
  <conditionalFormatting sqref="H111:H114">
    <cfRule type="expression" dxfId="2002" priority="55">
      <formula>H111&gt;0</formula>
    </cfRule>
    <cfRule type="expression" dxfId="2001" priority="56">
      <formula>H111&lt;0</formula>
    </cfRule>
  </conditionalFormatting>
  <conditionalFormatting sqref="Q8">
    <cfRule type="expression" dxfId="2000" priority="51">
      <formula>Q8&gt;0</formula>
    </cfRule>
    <cfRule type="expression" dxfId="1999" priority="52">
      <formula>Q8&lt;0</formula>
    </cfRule>
  </conditionalFormatting>
  <conditionalFormatting sqref="Q7">
    <cfRule type="expression" dxfId="1998" priority="53">
      <formula>Q7&gt;0</formula>
    </cfRule>
    <cfRule type="expression" dxfId="1997" priority="54">
      <formula>Q7&lt;0</formula>
    </cfRule>
  </conditionalFormatting>
  <conditionalFormatting sqref="F134">
    <cfRule type="expression" dxfId="1996" priority="47">
      <formula>F134&gt;0</formula>
    </cfRule>
    <cfRule type="expression" dxfId="1995" priority="48">
      <formula>F134&lt;0</formula>
    </cfRule>
  </conditionalFormatting>
  <conditionalFormatting sqref="F134">
    <cfRule type="expression" dxfId="1994" priority="49">
      <formula>F134&gt;0</formula>
    </cfRule>
    <cfRule type="expression" dxfId="1993" priority="50">
      <formula>F134&lt;0</formula>
    </cfRule>
  </conditionalFormatting>
  <conditionalFormatting sqref="H134">
    <cfRule type="expression" dxfId="1992" priority="45">
      <formula>H134&gt;0</formula>
    </cfRule>
    <cfRule type="expression" dxfId="1991" priority="46">
      <formula>H134&lt;0</formula>
    </cfRule>
  </conditionalFormatting>
  <conditionalFormatting sqref="F135">
    <cfRule type="expression" dxfId="1990" priority="41">
      <formula>F135&gt;0</formula>
    </cfRule>
    <cfRule type="expression" dxfId="1989" priority="42">
      <formula>F135&lt;0</formula>
    </cfRule>
  </conditionalFormatting>
  <conditionalFormatting sqref="F135">
    <cfRule type="expression" dxfId="1988" priority="43">
      <formula>F135&gt;0</formula>
    </cfRule>
    <cfRule type="expression" dxfId="1987" priority="44">
      <formula>F135&lt;0</formula>
    </cfRule>
  </conditionalFormatting>
  <conditionalFormatting sqref="H135">
    <cfRule type="expression" dxfId="1986" priority="39">
      <formula>H135&gt;0</formula>
    </cfRule>
    <cfRule type="expression" dxfId="1985" priority="40">
      <formula>H135&lt;0</formula>
    </cfRule>
  </conditionalFormatting>
  <conditionalFormatting sqref="F181:F182">
    <cfRule type="expression" dxfId="1984" priority="35">
      <formula>F181&gt;0</formula>
    </cfRule>
    <cfRule type="expression" dxfId="1983" priority="36">
      <formula>F181&lt;0</formula>
    </cfRule>
  </conditionalFormatting>
  <conditionalFormatting sqref="F181:F182">
    <cfRule type="expression" dxfId="1982" priority="37">
      <formula>F181&gt;0</formula>
    </cfRule>
    <cfRule type="expression" dxfId="1981" priority="38">
      <formula>F181&lt;0</formula>
    </cfRule>
  </conditionalFormatting>
  <conditionalFormatting sqref="H181:H182">
    <cfRule type="expression" dxfId="1980" priority="33">
      <formula>H181&gt;0</formula>
    </cfRule>
    <cfRule type="expression" dxfId="1979" priority="34">
      <formula>H181&lt;0</formula>
    </cfRule>
  </conditionalFormatting>
  <conditionalFormatting sqref="F48:F63">
    <cfRule type="expression" dxfId="1978" priority="31">
      <formula>F48&gt;0</formula>
    </cfRule>
    <cfRule type="expression" dxfId="1977" priority="32">
      <formula>F48&lt;0</formula>
    </cfRule>
  </conditionalFormatting>
  <conditionalFormatting sqref="H48:H63">
    <cfRule type="expression" dxfId="1976" priority="29">
      <formula>H48&gt;0</formula>
    </cfRule>
    <cfRule type="expression" dxfId="1975" priority="30">
      <formula>H48&lt;0</formula>
    </cfRule>
  </conditionalFormatting>
  <conditionalFormatting sqref="Q10">
    <cfRule type="expression" dxfId="1974" priority="27">
      <formula>Q10&gt;0</formula>
    </cfRule>
    <cfRule type="expression" dxfId="1973" priority="28">
      <formula>Q10&lt;0</formula>
    </cfRule>
  </conditionalFormatting>
  <conditionalFormatting sqref="J58:K58">
    <cfRule type="expression" dxfId="1972" priority="25">
      <formula>J58&gt;0</formula>
    </cfRule>
    <cfRule type="expression" dxfId="1971" priority="26">
      <formula>J58&lt;0</formula>
    </cfRule>
  </conditionalFormatting>
  <conditionalFormatting sqref="K59">
    <cfRule type="expression" dxfId="1970" priority="23">
      <formula>K59&gt;0</formula>
    </cfRule>
    <cfRule type="expression" dxfId="1969" priority="24">
      <formula>K59&lt;0</formula>
    </cfRule>
  </conditionalFormatting>
  <conditionalFormatting sqref="K60:K73 K78:K109">
    <cfRule type="expression" dxfId="1968" priority="21">
      <formula>K60&gt;0</formula>
    </cfRule>
    <cfRule type="expression" dxfId="1967" priority="22">
      <formula>K60&lt;0</formula>
    </cfRule>
  </conditionalFormatting>
  <conditionalFormatting sqref="F65:F73">
    <cfRule type="expression" dxfId="1966" priority="19">
      <formula>F65&gt;0</formula>
    </cfRule>
    <cfRule type="expression" dxfId="1965" priority="20">
      <formula>F65&lt;0</formula>
    </cfRule>
  </conditionalFormatting>
  <conditionalFormatting sqref="H65:H73">
    <cfRule type="expression" dxfId="1964" priority="17">
      <formula>H65&gt;0</formula>
    </cfRule>
    <cfRule type="expression" dxfId="1963" priority="18">
      <formula>H65&lt;0</formula>
    </cfRule>
  </conditionalFormatting>
  <conditionalFormatting sqref="R4">
    <cfRule type="expression" dxfId="1962" priority="15">
      <formula>R4&gt;0</formula>
    </cfRule>
    <cfRule type="expression" dxfId="1961" priority="16">
      <formula>R4&lt;0</formula>
    </cfRule>
  </conditionalFormatting>
  <conditionalFormatting sqref="Q9">
    <cfRule type="expression" dxfId="1960" priority="13">
      <formula>Q9&gt;0</formula>
    </cfRule>
    <cfRule type="expression" dxfId="1959" priority="14">
      <formula>Q9&lt;0</formula>
    </cfRule>
  </conditionalFormatting>
  <conditionalFormatting sqref="K74:K77">
    <cfRule type="expression" dxfId="1958" priority="11">
      <formula>K74&gt;0</formula>
    </cfRule>
    <cfRule type="expression" dxfId="1957" priority="12">
      <formula>K74&lt;0</formula>
    </cfRule>
  </conditionalFormatting>
  <conditionalFormatting sqref="F74:F97">
    <cfRule type="expression" dxfId="1956" priority="9">
      <formula>F74&gt;0</formula>
    </cfRule>
    <cfRule type="expression" dxfId="1955" priority="10">
      <formula>F74&lt;0</formula>
    </cfRule>
  </conditionalFormatting>
  <conditionalFormatting sqref="H74:H97">
    <cfRule type="expression" dxfId="1954" priority="7">
      <formula>H74&gt;0</formula>
    </cfRule>
    <cfRule type="expression" dxfId="1953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5">
    <cfRule type="expression" dxfId="1952" priority="3">
      <formula>F98&gt;0</formula>
    </cfRule>
    <cfRule type="expression" dxfId="1951" priority="4">
      <formula>F98&lt;0</formula>
    </cfRule>
  </conditionalFormatting>
  <conditionalFormatting sqref="H98:H105">
    <cfRule type="expression" dxfId="1950" priority="1">
      <formula>H98&gt;0</formula>
    </cfRule>
    <cfRule type="expression" dxfId="1949" priority="2">
      <formula>H98&lt;0</formula>
    </cfRule>
  </conditionalFormatting>
  <hyperlinks>
    <hyperlink ref="A3" location="ACTIVE!A1" display="Back"/>
    <hyperlink ref="A205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267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10.61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10.61</v>
      </c>
      <c r="R4" s="486">
        <v>0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4" t="s">
        <v>1</v>
      </c>
      <c r="B33" s="524" t="s">
        <v>2</v>
      </c>
      <c r="C33" s="524" t="s">
        <v>4</v>
      </c>
      <c r="D33" s="525" t="s">
        <v>5</v>
      </c>
      <c r="E33" s="525" t="s">
        <v>94</v>
      </c>
      <c r="F33" s="525" t="s">
        <v>60</v>
      </c>
      <c r="G33" s="524" t="s">
        <v>3</v>
      </c>
      <c r="H33" s="524" t="s">
        <v>6</v>
      </c>
      <c r="I33" s="525" t="s">
        <v>7</v>
      </c>
      <c r="J33" s="525" t="s">
        <v>95</v>
      </c>
      <c r="K33" s="525" t="s">
        <v>61</v>
      </c>
      <c r="L33" s="524" t="s">
        <v>37</v>
      </c>
      <c r="M33" s="524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6" t="s">
        <v>197</v>
      </c>
      <c r="B34" s="509">
        <v>42488</v>
      </c>
      <c r="C34" s="510">
        <v>100</v>
      </c>
      <c r="D34" s="512">
        <v>13.8</v>
      </c>
      <c r="E34" s="512">
        <v>0</v>
      </c>
      <c r="F34" s="512">
        <f t="shared" ref="F34:F40" si="2">D34*C34+E34</f>
        <v>1380</v>
      </c>
      <c r="G34" s="509">
        <v>42515</v>
      </c>
      <c r="H34" s="510">
        <v>100</v>
      </c>
      <c r="I34" s="512">
        <v>13.59</v>
      </c>
      <c r="J34" s="512">
        <v>0.03</v>
      </c>
      <c r="K34" s="512">
        <f t="shared" ref="K34:K39" si="3">I34*H34-J34</f>
        <v>1358.97</v>
      </c>
      <c r="L34" s="509">
        <v>42614</v>
      </c>
      <c r="M34" s="512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8" t="s">
        <v>71</v>
      </c>
      <c r="B35" s="509">
        <v>42507</v>
      </c>
      <c r="C35" s="510">
        <v>100</v>
      </c>
      <c r="D35" s="512">
        <v>13.08</v>
      </c>
      <c r="E35" s="512">
        <v>0</v>
      </c>
      <c r="F35" s="512">
        <f t="shared" si="2"/>
        <v>1308</v>
      </c>
      <c r="G35" s="509">
        <v>42559</v>
      </c>
      <c r="H35" s="527">
        <v>100</v>
      </c>
      <c r="I35" s="512">
        <v>13.08</v>
      </c>
      <c r="J35" s="512">
        <v>0.03</v>
      </c>
      <c r="K35" s="512">
        <f t="shared" si="3"/>
        <v>1307.97</v>
      </c>
      <c r="L35" s="509">
        <v>42705</v>
      </c>
      <c r="M35" s="512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0"/>
      <c r="B36" s="509">
        <v>42545</v>
      </c>
      <c r="C36" s="510">
        <v>50</v>
      </c>
      <c r="D36" s="512">
        <v>12.75</v>
      </c>
      <c r="E36" s="512">
        <v>0</v>
      </c>
      <c r="F36" s="512">
        <f t="shared" si="2"/>
        <v>637.5</v>
      </c>
      <c r="G36" s="509">
        <v>42577</v>
      </c>
      <c r="H36" s="527">
        <v>50</v>
      </c>
      <c r="I36" s="512">
        <v>13.78</v>
      </c>
      <c r="J36" s="512">
        <v>0.02</v>
      </c>
      <c r="K36" s="512">
        <f t="shared" si="3"/>
        <v>688.98</v>
      </c>
      <c r="L36" s="510"/>
      <c r="M36" s="510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0"/>
      <c r="B37" s="509">
        <v>42545</v>
      </c>
      <c r="C37" s="510">
        <v>100</v>
      </c>
      <c r="D37" s="512">
        <v>12.75</v>
      </c>
      <c r="E37" s="512">
        <v>0</v>
      </c>
      <c r="F37" s="512">
        <f t="shared" si="2"/>
        <v>1275</v>
      </c>
      <c r="G37" s="509">
        <v>42620</v>
      </c>
      <c r="H37" s="527">
        <v>100</v>
      </c>
      <c r="I37" s="512">
        <v>12.7</v>
      </c>
      <c r="J37" s="512">
        <v>0.53</v>
      </c>
      <c r="K37" s="512">
        <f t="shared" si="3"/>
        <v>1269.47</v>
      </c>
      <c r="L37" s="510"/>
      <c r="M37" s="510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0"/>
      <c r="B38" s="509">
        <v>42548</v>
      </c>
      <c r="C38" s="510">
        <v>150</v>
      </c>
      <c r="D38" s="512">
        <v>12.18</v>
      </c>
      <c r="E38" s="512">
        <v>0</v>
      </c>
      <c r="F38" s="512">
        <f t="shared" si="2"/>
        <v>1827</v>
      </c>
      <c r="G38" s="509">
        <v>42684</v>
      </c>
      <c r="H38" s="527">
        <v>250</v>
      </c>
      <c r="I38" s="512">
        <v>11.94</v>
      </c>
      <c r="J38" s="512">
        <v>7.0000000000000007E-2</v>
      </c>
      <c r="K38" s="512">
        <f t="shared" si="3"/>
        <v>2984.93</v>
      </c>
      <c r="L38" s="510"/>
      <c r="M38" s="510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0"/>
      <c r="B39" s="509">
        <v>42627</v>
      </c>
      <c r="C39" s="510">
        <v>100</v>
      </c>
      <c r="D39" s="512">
        <v>12.14</v>
      </c>
      <c r="E39" s="512">
        <v>0</v>
      </c>
      <c r="F39" s="512">
        <f t="shared" si="2"/>
        <v>1214</v>
      </c>
      <c r="G39" s="509">
        <v>42711</v>
      </c>
      <c r="H39" s="527">
        <v>200</v>
      </c>
      <c r="I39" s="512">
        <v>12.68</v>
      </c>
      <c r="J39" s="512">
        <v>0.06</v>
      </c>
      <c r="K39" s="512">
        <f t="shared" si="3"/>
        <v>2535.94</v>
      </c>
      <c r="L39" s="510"/>
      <c r="M39" s="510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0"/>
      <c r="B40" s="509">
        <v>42670</v>
      </c>
      <c r="C40" s="510">
        <v>200</v>
      </c>
      <c r="D40" s="512">
        <v>11.68</v>
      </c>
      <c r="E40" s="512">
        <v>0</v>
      </c>
      <c r="F40" s="512">
        <f t="shared" si="2"/>
        <v>2336</v>
      </c>
      <c r="G40" s="510"/>
      <c r="H40" s="527"/>
      <c r="I40" s="512"/>
      <c r="J40" s="512"/>
      <c r="K40" s="512"/>
      <c r="L40" s="510"/>
      <c r="M40" s="510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0"/>
      <c r="B41" s="510"/>
      <c r="C41" s="510"/>
      <c r="D41" s="512"/>
      <c r="E41" s="512"/>
      <c r="F41" s="512"/>
      <c r="G41" s="510"/>
      <c r="H41" s="527"/>
      <c r="I41" s="512"/>
      <c r="J41" s="512"/>
      <c r="K41" s="512"/>
      <c r="L41" s="510"/>
      <c r="M41" s="510"/>
      <c r="O41" s="81">
        <v>1.1000000000000001</v>
      </c>
      <c r="P41" s="81">
        <f>O41*$Q$4</f>
        <v>11.671000000000001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0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0"/>
      <c r="M42" s="510"/>
      <c r="O42" s="81">
        <v>1.0900000000000001</v>
      </c>
      <c r="P42" s="81">
        <f t="shared" ref="P42:P61" si="5">O42*$Q$4</f>
        <v>11.5649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0"/>
      <c r="B43" s="510"/>
      <c r="C43" s="510"/>
      <c r="D43" s="512"/>
      <c r="E43" s="512"/>
      <c r="F43" s="512"/>
      <c r="G43" s="510"/>
      <c r="H43" s="527"/>
      <c r="I43" s="512"/>
      <c r="J43" s="512"/>
      <c r="K43" s="512"/>
      <c r="L43" s="510"/>
      <c r="M43" s="510"/>
      <c r="O43" s="81">
        <v>1.08</v>
      </c>
      <c r="P43" s="81">
        <f t="shared" si="5"/>
        <v>11.4588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0"/>
      <c r="B44" s="510"/>
      <c r="C44" s="510"/>
      <c r="D44" s="512"/>
      <c r="E44" s="512"/>
      <c r="F44" s="512"/>
      <c r="G44" s="510"/>
      <c r="H44" s="527"/>
      <c r="I44" s="512"/>
      <c r="J44" s="512"/>
      <c r="K44" s="512"/>
      <c r="L44" s="510"/>
      <c r="M44" s="510"/>
      <c r="O44" s="81">
        <v>1.07</v>
      </c>
      <c r="P44" s="81">
        <f t="shared" si="5"/>
        <v>11.3527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0"/>
      <c r="B45" s="510"/>
      <c r="C45" s="510"/>
      <c r="D45" s="512"/>
      <c r="E45" s="512"/>
      <c r="F45" s="512"/>
      <c r="G45" s="510"/>
      <c r="H45" s="527"/>
      <c r="I45" s="512"/>
      <c r="J45" s="512"/>
      <c r="K45" s="512"/>
      <c r="L45" s="510"/>
      <c r="M45" s="510"/>
      <c r="O45" s="81">
        <v>1.06</v>
      </c>
      <c r="P45" s="81">
        <f t="shared" si="5"/>
        <v>11.246600000000001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0"/>
      <c r="B46" s="510"/>
      <c r="C46" s="510"/>
      <c r="D46" s="512"/>
      <c r="E46" s="512"/>
      <c r="F46" s="512"/>
      <c r="G46" s="510"/>
      <c r="H46" s="527"/>
      <c r="I46" s="512"/>
      <c r="J46" s="512"/>
      <c r="K46" s="512"/>
      <c r="L46" s="510"/>
      <c r="M46" s="510"/>
      <c r="O46" s="81">
        <v>1.05</v>
      </c>
      <c r="P46" s="81">
        <f t="shared" si="5"/>
        <v>11.140499999999999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0"/>
      <c r="B47" s="510"/>
      <c r="C47" s="510"/>
      <c r="D47" s="512"/>
      <c r="E47" s="512"/>
      <c r="F47" s="512"/>
      <c r="G47" s="510"/>
      <c r="H47" s="527"/>
      <c r="I47" s="512"/>
      <c r="J47" s="512"/>
      <c r="K47" s="512"/>
      <c r="L47" s="510"/>
      <c r="M47" s="510"/>
      <c r="O47" s="81">
        <v>1.04</v>
      </c>
      <c r="P47" s="81">
        <f t="shared" si="5"/>
        <v>11.0344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0"/>
      <c r="B48" s="510"/>
      <c r="C48" s="510"/>
      <c r="D48" s="512"/>
      <c r="E48" s="512"/>
      <c r="F48" s="512"/>
      <c r="G48" s="510"/>
      <c r="H48" s="527"/>
      <c r="I48" s="512"/>
      <c r="J48" s="512"/>
      <c r="K48" s="512"/>
      <c r="L48" s="510"/>
      <c r="M48" s="510"/>
      <c r="O48" s="81">
        <v>1.03</v>
      </c>
      <c r="P48" s="81">
        <f t="shared" si="5"/>
        <v>10.9283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0"/>
      <c r="B49" s="510"/>
      <c r="C49" s="510"/>
      <c r="D49" s="512"/>
      <c r="E49" s="512"/>
      <c r="F49" s="512"/>
      <c r="G49" s="510"/>
      <c r="H49" s="527"/>
      <c r="I49" s="512"/>
      <c r="J49" s="512"/>
      <c r="K49" s="512"/>
      <c r="L49" s="510"/>
      <c r="M49" s="510"/>
      <c r="O49" s="81">
        <v>1.02</v>
      </c>
      <c r="P49" s="81">
        <f t="shared" si="5"/>
        <v>10.8222</v>
      </c>
      <c r="Q49" s="2"/>
      <c r="T49" s="91" t="s">
        <v>103</v>
      </c>
      <c r="U49" s="86" t="s">
        <v>382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29" t="s">
        <v>81</v>
      </c>
      <c r="B50" s="530"/>
      <c r="C50" s="530">
        <f>SUM(C34:C40)</f>
        <v>800</v>
      </c>
      <c r="D50" s="531"/>
      <c r="E50" s="531"/>
      <c r="F50" s="531">
        <f>SUM(F34:F49)</f>
        <v>12073.5</v>
      </c>
      <c r="G50" s="530"/>
      <c r="H50" s="530">
        <f>SUM(H34:H49)</f>
        <v>1000</v>
      </c>
      <c r="I50" s="531"/>
      <c r="J50" s="531"/>
      <c r="K50" s="531">
        <f>SUM(K34:K49)</f>
        <v>12486.21</v>
      </c>
      <c r="L50" s="530"/>
      <c r="M50" s="531">
        <f>SUM(M34:M49)</f>
        <v>82.5</v>
      </c>
      <c r="O50" s="81">
        <v>1.01</v>
      </c>
      <c r="P50" s="81">
        <f t="shared" si="5"/>
        <v>10.716099999999999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2" t="s">
        <v>194</v>
      </c>
      <c r="B51" s="533"/>
      <c r="C51" s="534">
        <f>SumByColor($A$19,C34:C49)</f>
        <v>0</v>
      </c>
      <c r="D51" s="534"/>
      <c r="E51" s="534"/>
      <c r="F51" s="535">
        <f>SumByColor($A$19,F34:F49)</f>
        <v>0</v>
      </c>
      <c r="G51" s="534"/>
      <c r="H51" s="534">
        <f>SumByColor($A$19,H34:H49)</f>
        <v>0</v>
      </c>
      <c r="I51" s="534"/>
      <c r="J51" s="534"/>
      <c r="K51" s="535">
        <f>SumByColor($A$19,K34:K49)</f>
        <v>0</v>
      </c>
      <c r="L51" s="534"/>
      <c r="M51" s="535">
        <f>SumByColor($A$19,M34:M49)</f>
        <v>0</v>
      </c>
      <c r="O51" s="81">
        <v>1</v>
      </c>
      <c r="P51" s="81">
        <f t="shared" si="5"/>
        <v>10.61</v>
      </c>
      <c r="Q51" s="2"/>
      <c r="T51" s="91" t="s">
        <v>104</v>
      </c>
      <c r="U51" s="86" t="s">
        <v>618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10.5039</v>
      </c>
      <c r="Q52" s="2"/>
      <c r="T52" s="91" t="s">
        <v>105</v>
      </c>
      <c r="U52" s="86" t="s">
        <v>399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10.397799999999998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10.291699999999999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10.185599999999999</v>
      </c>
      <c r="T55" s="91" t="s">
        <v>107</v>
      </c>
      <c r="U55" s="86" t="s">
        <v>619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10.079499999999999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9.973399999999998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9.8673000000000002</v>
      </c>
      <c r="T58" s="91" t="s">
        <v>108</v>
      </c>
      <c r="U58" s="86" t="s">
        <v>551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9.7612000000000005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9.6550999999999991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9.5489999999999995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3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3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4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2" t="s">
        <v>265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2" t="s">
        <v>279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48" priority="31">
      <formula>Q7&gt;0</formula>
    </cfRule>
    <cfRule type="expression" dxfId="1947" priority="32">
      <formula>Q7&lt;0</formula>
    </cfRule>
  </conditionalFormatting>
  <conditionalFormatting sqref="Q8">
    <cfRule type="expression" dxfId="1946" priority="29">
      <formula>Q8&gt;0</formula>
    </cfRule>
    <cfRule type="expression" dxfId="1945" priority="30">
      <formula>Q8&lt;0</formula>
    </cfRule>
  </conditionalFormatting>
  <conditionalFormatting sqref="F62:F65">
    <cfRule type="expression" dxfId="1944" priority="21">
      <formula>F62&gt;0</formula>
    </cfRule>
    <cfRule type="expression" dxfId="1943" priority="22">
      <formula>F62&lt;0</formula>
    </cfRule>
  </conditionalFormatting>
  <conditionalFormatting sqref="F66:F74 F78:F98 F102:F106">
    <cfRule type="expression" dxfId="1942" priority="17">
      <formula>F66&gt;0</formula>
    </cfRule>
    <cfRule type="expression" dxfId="1941" priority="18">
      <formula>F66&lt;0</formula>
    </cfRule>
  </conditionalFormatting>
  <conditionalFormatting sqref="F66:F74 F78:F98 F102:F106">
    <cfRule type="expression" dxfId="1940" priority="19">
      <formula>F66&gt;0</formula>
    </cfRule>
    <cfRule type="expression" dxfId="1939" priority="20">
      <formula>F66&lt;0</formula>
    </cfRule>
  </conditionalFormatting>
  <conditionalFormatting sqref="H62:H74 H78:H98 H102:H106">
    <cfRule type="expression" dxfId="1938" priority="15">
      <formula>H62&gt;0</formula>
    </cfRule>
    <cfRule type="expression" dxfId="1937" priority="16">
      <formula>H62&lt;0</formula>
    </cfRule>
  </conditionalFormatting>
  <conditionalFormatting sqref="F57:F61">
    <cfRule type="expression" dxfId="1936" priority="13">
      <formula>F57&gt;0</formula>
    </cfRule>
    <cfRule type="expression" dxfId="1935" priority="14">
      <formula>F57&lt;0</formula>
    </cfRule>
  </conditionalFormatting>
  <conditionalFormatting sqref="H57:H61">
    <cfRule type="expression" dxfId="1934" priority="11">
      <formula>H57&gt;0</formula>
    </cfRule>
    <cfRule type="expression" dxfId="1933" priority="12">
      <formula>H57&lt;0</formula>
    </cfRule>
  </conditionalFormatting>
  <conditionalFormatting sqref="F75:F77">
    <cfRule type="expression" dxfId="1932" priority="7">
      <formula>F75&gt;0</formula>
    </cfRule>
    <cfRule type="expression" dxfId="1931" priority="8">
      <formula>F75&lt;0</formula>
    </cfRule>
  </conditionalFormatting>
  <conditionalFormatting sqref="F75:F77">
    <cfRule type="expression" dxfId="1930" priority="9">
      <formula>F75&gt;0</formula>
    </cfRule>
    <cfRule type="expression" dxfId="1929" priority="10">
      <formula>F75&lt;0</formula>
    </cfRule>
  </conditionalFormatting>
  <conditionalFormatting sqref="H75:H77">
    <cfRule type="expression" dxfId="1928" priority="5">
      <formula>H75&gt;0</formula>
    </cfRule>
    <cfRule type="expression" dxfId="1927" priority="6">
      <formula>H75&lt;0</formula>
    </cfRule>
  </conditionalFormatting>
  <conditionalFormatting sqref="F22:F30">
    <cfRule type="expression" dxfId="1926" priority="3">
      <formula>F22&gt;0</formula>
    </cfRule>
    <cfRule type="expression" dxfId="1925" priority="4">
      <formula>F22&lt;0</formula>
    </cfRule>
  </conditionalFormatting>
  <conditionalFormatting sqref="F99:F101">
    <cfRule type="expression" dxfId="1924" priority="1">
      <formula>F99&gt;0</formula>
    </cfRule>
    <cfRule type="expression" dxfId="1923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272</v>
      </c>
      <c r="B2" s="488"/>
      <c r="C2" s="4"/>
      <c r="D2" s="3"/>
      <c r="E2" s="3"/>
      <c r="F2" s="3"/>
      <c r="G2" s="488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129.88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129.88</v>
      </c>
      <c r="R4" s="486">
        <v>-1.34E-2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273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142.86799999999999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141.5692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140.2704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138.9716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137.6728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136.374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135.0752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133.7764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132.4776</v>
      </c>
      <c r="Q49" s="2"/>
      <c r="T49" s="91" t="s">
        <v>103</v>
      </c>
      <c r="U49" s="127" t="s">
        <v>366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131.1788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129.88</v>
      </c>
      <c r="Q51" s="2"/>
      <c r="T51" s="91" t="s">
        <v>104</v>
      </c>
      <c r="U51" s="127" t="s">
        <v>620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128.5812</v>
      </c>
      <c r="Q52" s="2"/>
      <c r="T52" s="91" t="s">
        <v>105</v>
      </c>
      <c r="U52" s="127" t="s">
        <v>621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127.2824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125.9836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124.6848</v>
      </c>
      <c r="T55" s="91" t="s">
        <v>107</v>
      </c>
      <c r="U55" s="127" t="s">
        <v>622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123.386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122.0872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120.7884</v>
      </c>
      <c r="T58" s="91" t="s">
        <v>108</v>
      </c>
      <c r="U58" s="127" t="s">
        <v>559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119.4896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118.1908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116.892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6" t="s">
        <v>1</v>
      </c>
      <c r="B75" s="639" t="s">
        <v>2</v>
      </c>
      <c r="C75" s="376" t="s">
        <v>4</v>
      </c>
      <c r="D75" s="378" t="s">
        <v>5</v>
      </c>
      <c r="E75" s="378" t="s">
        <v>94</v>
      </c>
      <c r="F75" s="378" t="s">
        <v>60</v>
      </c>
      <c r="G75" s="376" t="s">
        <v>3</v>
      </c>
      <c r="H75" s="376" t="s">
        <v>6</v>
      </c>
      <c r="I75" s="378" t="s">
        <v>7</v>
      </c>
      <c r="J75" s="378" t="s">
        <v>95</v>
      </c>
      <c r="K75" s="378" t="s">
        <v>61</v>
      </c>
      <c r="L75" s="376" t="s">
        <v>37</v>
      </c>
      <c r="M75" s="376" t="s">
        <v>38</v>
      </c>
    </row>
    <row r="76" spans="1:31" x14ac:dyDescent="0.25">
      <c r="A76" s="379" t="s">
        <v>272</v>
      </c>
      <c r="B76" s="634">
        <v>42622</v>
      </c>
      <c r="C76" s="370">
        <v>15</v>
      </c>
      <c r="D76" s="371">
        <v>118.5</v>
      </c>
      <c r="E76" s="371">
        <v>0</v>
      </c>
      <c r="F76" s="371">
        <f>C76*D76+E76</f>
        <v>1777.5</v>
      </c>
      <c r="G76" s="634">
        <v>42760</v>
      </c>
      <c r="H76" s="374">
        <v>15</v>
      </c>
      <c r="I76" s="371">
        <v>112.7</v>
      </c>
      <c r="J76" s="371">
        <v>0.04</v>
      </c>
      <c r="K76" s="371">
        <f>H76*I76-J76</f>
        <v>1690.46</v>
      </c>
      <c r="L76" s="369">
        <v>42710</v>
      </c>
      <c r="M76" s="371">
        <v>16</v>
      </c>
    </row>
    <row r="77" spans="1:31" x14ac:dyDescent="0.25">
      <c r="A77" s="380" t="s">
        <v>71</v>
      </c>
      <c r="B77" s="634">
        <v>42622</v>
      </c>
      <c r="C77" s="370">
        <v>5</v>
      </c>
      <c r="D77" s="371">
        <v>118.5</v>
      </c>
      <c r="E77" s="371">
        <v>0</v>
      </c>
      <c r="F77" s="371">
        <f>C77*D77+E77</f>
        <v>592.5</v>
      </c>
      <c r="G77" s="634">
        <v>42776</v>
      </c>
      <c r="H77" s="374">
        <v>15</v>
      </c>
      <c r="I77" s="371">
        <v>115.18</v>
      </c>
      <c r="J77" s="371">
        <v>0.04</v>
      </c>
      <c r="K77" s="371">
        <f>H77*I77-J77</f>
        <v>1727.66</v>
      </c>
      <c r="L77" s="370"/>
      <c r="M77" s="370"/>
    </row>
    <row r="78" spans="1:31" x14ac:dyDescent="0.25">
      <c r="A78" s="370"/>
      <c r="B78" s="634">
        <v>42704</v>
      </c>
      <c r="C78" s="370">
        <v>10</v>
      </c>
      <c r="D78" s="371">
        <v>111.48</v>
      </c>
      <c r="E78" s="371">
        <v>0</v>
      </c>
      <c r="F78" s="371">
        <f>C78*D78+E78</f>
        <v>1114.8</v>
      </c>
      <c r="G78" s="634">
        <v>42796</v>
      </c>
      <c r="H78" s="374">
        <v>15</v>
      </c>
      <c r="I78" s="371">
        <v>124.08</v>
      </c>
      <c r="J78" s="371">
        <v>0.04</v>
      </c>
      <c r="K78" s="371">
        <f>H78*I78-J78</f>
        <v>1861.16</v>
      </c>
      <c r="L78" s="370"/>
      <c r="M78" s="370"/>
    </row>
    <row r="79" spans="1:31" x14ac:dyDescent="0.25">
      <c r="A79" s="370"/>
      <c r="B79" s="634">
        <v>42759</v>
      </c>
      <c r="C79" s="370">
        <v>15</v>
      </c>
      <c r="D79" s="371">
        <v>111.18</v>
      </c>
      <c r="E79" s="371">
        <v>0</v>
      </c>
      <c r="F79" s="371">
        <f>C79*D79+E79</f>
        <v>1667.7</v>
      </c>
      <c r="G79" s="634"/>
      <c r="H79" s="374"/>
      <c r="I79" s="371"/>
      <c r="J79" s="371"/>
      <c r="K79" s="371"/>
      <c r="L79" s="369">
        <v>42808</v>
      </c>
      <c r="M79" s="370">
        <v>12</v>
      </c>
    </row>
    <row r="80" spans="1:31" x14ac:dyDescent="0.25">
      <c r="A80" s="370"/>
      <c r="B80" s="634"/>
      <c r="C80" s="370"/>
      <c r="D80" s="371"/>
      <c r="E80" s="371"/>
      <c r="F80" s="371"/>
      <c r="G80" s="634"/>
      <c r="H80" s="374"/>
      <c r="I80" s="371"/>
      <c r="J80" s="371"/>
      <c r="K80" s="371"/>
      <c r="L80" s="370"/>
      <c r="M80" s="370"/>
    </row>
    <row r="81" spans="1:13" x14ac:dyDescent="0.25">
      <c r="A81" s="370"/>
      <c r="B81" s="634"/>
      <c r="C81" s="370"/>
      <c r="D81" s="371"/>
      <c r="E81" s="371"/>
      <c r="F81" s="371"/>
      <c r="G81" s="634"/>
      <c r="H81" s="374"/>
      <c r="I81" s="371"/>
      <c r="J81" s="371"/>
      <c r="K81" s="371"/>
      <c r="L81" s="370"/>
      <c r="M81" s="370"/>
    </row>
    <row r="82" spans="1:13" x14ac:dyDescent="0.25">
      <c r="A82" s="370"/>
      <c r="B82" s="634"/>
      <c r="C82" s="370"/>
      <c r="D82" s="371"/>
      <c r="E82" s="371"/>
      <c r="F82" s="371"/>
      <c r="G82" s="634"/>
      <c r="H82" s="374"/>
      <c r="I82" s="371"/>
      <c r="J82" s="371"/>
      <c r="K82" s="371"/>
      <c r="L82" s="370"/>
      <c r="M82" s="370"/>
    </row>
    <row r="83" spans="1:13" x14ac:dyDescent="0.25">
      <c r="A83" s="370"/>
      <c r="B83" s="634"/>
      <c r="C83" s="370"/>
      <c r="D83" s="371"/>
      <c r="E83" s="371"/>
      <c r="F83" s="371"/>
      <c r="G83" s="634"/>
      <c r="H83" s="374"/>
      <c r="I83" s="371"/>
      <c r="J83" s="371"/>
      <c r="K83" s="371"/>
      <c r="L83" s="370"/>
      <c r="M83" s="370"/>
    </row>
    <row r="84" spans="1:13" x14ac:dyDescent="0.25">
      <c r="A84" s="370"/>
      <c r="B84" s="634"/>
      <c r="C84" s="370"/>
      <c r="D84" s="371"/>
      <c r="E84" s="371"/>
      <c r="F84" s="371"/>
      <c r="G84" s="634"/>
      <c r="H84" s="374"/>
      <c r="I84" s="371"/>
      <c r="J84" s="371"/>
      <c r="K84" s="371"/>
      <c r="L84" s="370"/>
      <c r="M84" s="370"/>
    </row>
    <row r="85" spans="1:13" x14ac:dyDescent="0.25">
      <c r="A85" s="370"/>
      <c r="B85" s="634"/>
      <c r="C85" s="370"/>
      <c r="D85" s="371"/>
      <c r="E85" s="371"/>
      <c r="F85" s="371"/>
      <c r="G85" s="634"/>
      <c r="H85" s="374"/>
      <c r="I85" s="371"/>
      <c r="J85" s="371"/>
      <c r="K85" s="371"/>
      <c r="L85" s="370"/>
      <c r="M85" s="370"/>
    </row>
    <row r="86" spans="1:13" x14ac:dyDescent="0.25">
      <c r="A86" s="370"/>
      <c r="B86" s="634"/>
      <c r="C86" s="370"/>
      <c r="D86" s="371"/>
      <c r="E86" s="371"/>
      <c r="F86" s="371"/>
      <c r="G86" s="634"/>
      <c r="H86" s="374"/>
      <c r="I86" s="371"/>
      <c r="J86" s="371"/>
      <c r="K86" s="371"/>
      <c r="L86" s="370"/>
      <c r="M86" s="370"/>
    </row>
    <row r="87" spans="1:13" x14ac:dyDescent="0.25">
      <c r="A87" s="370"/>
      <c r="B87" s="634"/>
      <c r="C87" s="370"/>
      <c r="D87" s="371"/>
      <c r="E87" s="371"/>
      <c r="F87" s="371"/>
      <c r="G87" s="634"/>
      <c r="H87" s="374"/>
      <c r="I87" s="371"/>
      <c r="J87" s="371"/>
      <c r="K87" s="371"/>
      <c r="L87" s="370"/>
      <c r="M87" s="370"/>
    </row>
    <row r="88" spans="1:13" x14ac:dyDescent="0.25">
      <c r="A88" s="370"/>
      <c r="B88" s="634"/>
      <c r="C88" s="370"/>
      <c r="D88" s="371"/>
      <c r="E88" s="371"/>
      <c r="F88" s="371"/>
      <c r="G88" s="634"/>
      <c r="H88" s="374"/>
      <c r="I88" s="371"/>
      <c r="J88" s="371"/>
      <c r="K88" s="371"/>
      <c r="L88" s="370"/>
      <c r="M88" s="370"/>
    </row>
    <row r="89" spans="1:13" x14ac:dyDescent="0.25">
      <c r="A89" s="370"/>
      <c r="B89" s="634"/>
      <c r="C89" s="370"/>
      <c r="D89" s="371"/>
      <c r="E89" s="371"/>
      <c r="F89" s="371"/>
      <c r="G89" s="634"/>
      <c r="H89" s="374"/>
      <c r="I89" s="371"/>
      <c r="J89" s="371"/>
      <c r="K89" s="371"/>
      <c r="L89" s="370"/>
      <c r="M89" s="370"/>
    </row>
    <row r="90" spans="1:13" x14ac:dyDescent="0.25">
      <c r="A90" s="370"/>
      <c r="B90" s="634"/>
      <c r="C90" s="370"/>
      <c r="D90" s="371"/>
      <c r="E90" s="371"/>
      <c r="F90" s="371"/>
      <c r="G90" s="634"/>
      <c r="H90" s="374"/>
      <c r="I90" s="371"/>
      <c r="J90" s="371"/>
      <c r="K90" s="371"/>
      <c r="L90" s="370"/>
      <c r="M90" s="370"/>
    </row>
    <row r="91" spans="1:13" x14ac:dyDescent="0.25">
      <c r="A91" s="370"/>
      <c r="B91" s="634"/>
      <c r="C91" s="370"/>
      <c r="D91" s="371"/>
      <c r="E91" s="371"/>
      <c r="F91" s="371"/>
      <c r="G91" s="634"/>
      <c r="H91" s="370"/>
      <c r="I91" s="371"/>
      <c r="J91" s="371"/>
      <c r="K91" s="371"/>
      <c r="L91" s="370"/>
      <c r="M91" s="370"/>
    </row>
    <row r="92" spans="1:13" x14ac:dyDescent="0.25">
      <c r="A92" s="21" t="s">
        <v>81</v>
      </c>
      <c r="B92" s="640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4" t="s">
        <v>194</v>
      </c>
      <c r="B93" s="641"/>
      <c r="C93" s="456">
        <f>SumByColor($A$19,C76:C91)</f>
        <v>0</v>
      </c>
      <c r="D93" s="456"/>
      <c r="E93" s="456"/>
      <c r="F93" s="457">
        <f>SumByColor($A$19,F76:F91)</f>
        <v>0</v>
      </c>
      <c r="G93" s="456"/>
      <c r="H93" s="456">
        <f>SumByColor($A$19,H76:H91)</f>
        <v>0</v>
      </c>
      <c r="I93" s="456"/>
      <c r="J93" s="456"/>
      <c r="K93" s="457">
        <f>SumByColor($A$19,K76:K91)</f>
        <v>0</v>
      </c>
      <c r="L93" s="456"/>
      <c r="M93" s="457">
        <f>SumByColor($A$19,M76:M91)</f>
        <v>0</v>
      </c>
    </row>
    <row r="102" spans="1:12" x14ac:dyDescent="0.25">
      <c r="A102" s="370"/>
      <c r="B102" s="634"/>
      <c r="C102" s="370"/>
      <c r="D102" s="371"/>
      <c r="E102" s="371"/>
      <c r="F102" s="371"/>
      <c r="G102" s="370"/>
      <c r="H102" s="370"/>
      <c r="I102" s="371"/>
      <c r="J102" s="371"/>
      <c r="K102" s="371"/>
      <c r="L102" s="370"/>
    </row>
    <row r="103" spans="1:12" x14ac:dyDescent="0.25">
      <c r="A103" s="370"/>
      <c r="B103" s="634"/>
      <c r="C103" s="370"/>
      <c r="D103" s="371"/>
      <c r="E103" s="371"/>
      <c r="F103" s="371"/>
      <c r="G103" s="370"/>
      <c r="H103" s="370"/>
      <c r="I103" s="371"/>
      <c r="J103" s="371"/>
      <c r="K103" s="371"/>
      <c r="L103" s="370"/>
    </row>
    <row r="104" spans="1:12" x14ac:dyDescent="0.25">
      <c r="A104" s="370"/>
      <c r="B104" s="632" t="s">
        <v>113</v>
      </c>
      <c r="C104" s="497" t="s">
        <v>146</v>
      </c>
      <c r="D104" s="498" t="s">
        <v>145</v>
      </c>
      <c r="E104" s="499" t="s">
        <v>147</v>
      </c>
      <c r="F104" s="499" t="s">
        <v>65</v>
      </c>
      <c r="G104" s="501" t="s">
        <v>151</v>
      </c>
      <c r="H104" s="501" t="s">
        <v>88</v>
      </c>
      <c r="I104" s="501" t="s">
        <v>154</v>
      </c>
      <c r="J104" s="371"/>
      <c r="K104" s="371"/>
      <c r="L104" s="370"/>
    </row>
    <row r="105" spans="1:12" x14ac:dyDescent="0.25">
      <c r="A105" s="370"/>
      <c r="B105" s="634">
        <v>42622</v>
      </c>
      <c r="C105" s="370">
        <v>20</v>
      </c>
      <c r="D105" s="371">
        <v>118.5</v>
      </c>
      <c r="E105" s="371">
        <v>118.23</v>
      </c>
      <c r="F105" s="371">
        <f t="shared" ref="F105:F117" si="3">C105*(E105-D105)</f>
        <v>-5.3999999999999204</v>
      </c>
      <c r="G105" s="371">
        <f t="shared" ref="G105:G117" si="4">D105*C105</f>
        <v>2370</v>
      </c>
      <c r="H105" s="372">
        <f t="shared" ref="H105:H117" si="5">(E105-D105)/D105</f>
        <v>-2.2784810126581941E-3</v>
      </c>
      <c r="I105" s="371"/>
      <c r="J105" s="371"/>
      <c r="K105" s="371"/>
      <c r="L105" s="370"/>
    </row>
    <row r="106" spans="1:12" x14ac:dyDescent="0.25">
      <c r="A106" s="370"/>
      <c r="B106" s="634">
        <v>42627</v>
      </c>
      <c r="C106" s="370">
        <v>20</v>
      </c>
      <c r="D106" s="371">
        <v>118.5</v>
      </c>
      <c r="E106" s="371">
        <v>117.86</v>
      </c>
      <c r="F106" s="371">
        <f t="shared" si="3"/>
        <v>-12.800000000000011</v>
      </c>
      <c r="G106" s="371">
        <f t="shared" si="4"/>
        <v>2370</v>
      </c>
      <c r="H106" s="372">
        <f t="shared" si="5"/>
        <v>-5.400843881856545E-3</v>
      </c>
      <c r="I106" s="371"/>
      <c r="J106" s="371"/>
      <c r="K106" s="371"/>
      <c r="L106" s="370"/>
    </row>
    <row r="107" spans="1:12" x14ac:dyDescent="0.25">
      <c r="A107" s="370"/>
      <c r="B107" s="634">
        <v>42634</v>
      </c>
      <c r="C107" s="370">
        <v>20</v>
      </c>
      <c r="D107" s="371">
        <v>118.5</v>
      </c>
      <c r="E107" s="371">
        <v>118.91</v>
      </c>
      <c r="F107" s="371">
        <f t="shared" si="3"/>
        <v>8.1999999999999318</v>
      </c>
      <c r="G107" s="371">
        <f t="shared" si="4"/>
        <v>2370</v>
      </c>
      <c r="H107" s="372">
        <f t="shared" si="5"/>
        <v>3.4599156118143171E-3</v>
      </c>
      <c r="I107" s="371"/>
      <c r="J107" s="371"/>
      <c r="K107" s="371"/>
      <c r="L107" s="370"/>
    </row>
    <row r="108" spans="1:12" x14ac:dyDescent="0.25">
      <c r="A108" s="370"/>
      <c r="B108" s="634">
        <v>42651</v>
      </c>
      <c r="C108" s="370">
        <v>20</v>
      </c>
      <c r="D108" s="371">
        <v>118.5</v>
      </c>
      <c r="E108" s="371">
        <v>119.24</v>
      </c>
      <c r="F108" s="371">
        <f t="shared" si="3"/>
        <v>14.799999999999898</v>
      </c>
      <c r="G108" s="371">
        <f t="shared" si="4"/>
        <v>2370</v>
      </c>
      <c r="H108" s="372">
        <f t="shared" si="5"/>
        <v>6.2447257383965813E-3</v>
      </c>
      <c r="I108" s="371"/>
      <c r="J108" s="371"/>
      <c r="K108" s="371"/>
      <c r="L108" s="370"/>
    </row>
    <row r="109" spans="1:12" x14ac:dyDescent="0.25">
      <c r="A109" s="370"/>
      <c r="B109" s="634">
        <v>42664</v>
      </c>
      <c r="C109" s="370">
        <v>20</v>
      </c>
      <c r="D109" s="371">
        <v>118.5</v>
      </c>
      <c r="E109" s="371">
        <v>113.44</v>
      </c>
      <c r="F109" s="371">
        <f t="shared" si="3"/>
        <v>-101.20000000000005</v>
      </c>
      <c r="G109" s="371">
        <f t="shared" si="4"/>
        <v>2370</v>
      </c>
      <c r="H109" s="372">
        <f t="shared" si="5"/>
        <v>-4.2700421940928289E-2</v>
      </c>
      <c r="I109" s="371"/>
      <c r="J109" s="371"/>
      <c r="K109" s="371"/>
      <c r="L109" s="370"/>
    </row>
    <row r="110" spans="1:12" x14ac:dyDescent="0.25">
      <c r="A110" s="370"/>
      <c r="B110" s="634">
        <v>42674</v>
      </c>
      <c r="C110" s="370">
        <v>20</v>
      </c>
      <c r="D110" s="371">
        <v>118.5</v>
      </c>
      <c r="E110" s="371">
        <v>115.99</v>
      </c>
      <c r="F110" s="371">
        <f t="shared" si="3"/>
        <v>-50.200000000000102</v>
      </c>
      <c r="G110" s="371">
        <f t="shared" si="4"/>
        <v>2370</v>
      </c>
      <c r="H110" s="372">
        <f t="shared" si="5"/>
        <v>-2.1181434599156161E-2</v>
      </c>
      <c r="I110" s="371"/>
      <c r="J110" s="371"/>
      <c r="K110" s="371"/>
      <c r="L110" s="370"/>
    </row>
    <row r="111" spans="1:12" x14ac:dyDescent="0.25">
      <c r="A111" s="370"/>
      <c r="B111" s="634">
        <v>42702</v>
      </c>
      <c r="C111" s="370">
        <v>20</v>
      </c>
      <c r="D111" s="371">
        <v>118.5</v>
      </c>
      <c r="E111" s="371">
        <v>114.13</v>
      </c>
      <c r="F111" s="371">
        <f t="shared" si="3"/>
        <v>-87.400000000000091</v>
      </c>
      <c r="G111" s="371">
        <f t="shared" si="4"/>
        <v>2370</v>
      </c>
      <c r="H111" s="372">
        <f t="shared" si="5"/>
        <v>-3.6877637130801728E-2</v>
      </c>
      <c r="I111" s="371"/>
      <c r="J111" s="371"/>
      <c r="K111" s="371"/>
      <c r="L111" s="370"/>
    </row>
    <row r="112" spans="1:12" x14ac:dyDescent="0.25">
      <c r="A112" s="370"/>
      <c r="B112" s="634">
        <v>42704</v>
      </c>
      <c r="C112" s="370">
        <v>30</v>
      </c>
      <c r="D112" s="371">
        <v>116.16</v>
      </c>
      <c r="E112" s="371">
        <v>111.3</v>
      </c>
      <c r="F112" s="371">
        <f t="shared" si="3"/>
        <v>-145.79999999999998</v>
      </c>
      <c r="G112" s="371">
        <f t="shared" si="4"/>
        <v>3484.7999999999997</v>
      </c>
      <c r="H112" s="372">
        <f t="shared" si="5"/>
        <v>-4.1838842975206611E-2</v>
      </c>
      <c r="I112" s="371"/>
      <c r="J112" s="371"/>
      <c r="K112" s="371"/>
      <c r="L112" s="370"/>
    </row>
    <row r="113" spans="1:12" x14ac:dyDescent="0.25">
      <c r="A113" s="370"/>
      <c r="B113" s="634">
        <v>42711</v>
      </c>
      <c r="C113" s="370">
        <v>30</v>
      </c>
      <c r="D113" s="371">
        <v>115.6267</v>
      </c>
      <c r="E113" s="371">
        <v>111.1</v>
      </c>
      <c r="F113" s="371">
        <f t="shared" si="3"/>
        <v>-135.80100000000016</v>
      </c>
      <c r="G113" s="371">
        <f t="shared" si="4"/>
        <v>3468.8009999999999</v>
      </c>
      <c r="H113" s="372">
        <f t="shared" si="5"/>
        <v>-3.9149262237874169E-2</v>
      </c>
      <c r="I113" s="453"/>
      <c r="J113" s="371"/>
      <c r="K113" s="371"/>
      <c r="L113" s="370"/>
    </row>
    <row r="114" spans="1:12" x14ac:dyDescent="0.25">
      <c r="A114" s="370"/>
      <c r="B114" s="634">
        <v>42759</v>
      </c>
      <c r="C114" s="370">
        <v>45</v>
      </c>
      <c r="D114" s="371">
        <v>114.14530000000001</v>
      </c>
      <c r="E114" s="371">
        <v>111.89</v>
      </c>
      <c r="F114" s="371">
        <f t="shared" si="3"/>
        <v>-101.48850000000024</v>
      </c>
      <c r="G114" s="371">
        <f t="shared" si="4"/>
        <v>5136.5385000000006</v>
      </c>
      <c r="H114" s="372">
        <f t="shared" si="5"/>
        <v>-1.9758150357483011E-2</v>
      </c>
      <c r="I114" s="371">
        <v>110</v>
      </c>
      <c r="J114" s="371"/>
      <c r="K114" s="371"/>
      <c r="L114" s="370"/>
    </row>
    <row r="115" spans="1:12" x14ac:dyDescent="0.25">
      <c r="A115" s="370" t="s">
        <v>370</v>
      </c>
      <c r="B115" s="634">
        <v>42760</v>
      </c>
      <c r="C115" s="370">
        <v>30</v>
      </c>
      <c r="D115" s="371">
        <v>114.86799999999999</v>
      </c>
      <c r="E115" s="371">
        <v>112.8</v>
      </c>
      <c r="F115" s="371">
        <f t="shared" si="3"/>
        <v>-62.039999999999935</v>
      </c>
      <c r="G115" s="371">
        <f t="shared" si="4"/>
        <v>3446.04</v>
      </c>
      <c r="H115" s="372">
        <f t="shared" si="5"/>
        <v>-1.8003273322422242E-2</v>
      </c>
      <c r="I115" s="371"/>
      <c r="J115" s="371"/>
      <c r="K115" s="371"/>
      <c r="L115" s="370"/>
    </row>
    <row r="116" spans="1:12" x14ac:dyDescent="0.25">
      <c r="A116" s="370" t="s">
        <v>410</v>
      </c>
      <c r="B116" s="634">
        <v>42761</v>
      </c>
      <c r="C116" s="370">
        <v>30</v>
      </c>
      <c r="D116" s="371">
        <v>114.86799999999999</v>
      </c>
      <c r="E116" s="371">
        <v>113.64</v>
      </c>
      <c r="F116" s="371">
        <f t="shared" si="3"/>
        <v>-36.839999999999833</v>
      </c>
      <c r="G116" s="371">
        <f t="shared" si="4"/>
        <v>3446.04</v>
      </c>
      <c r="H116" s="372">
        <f t="shared" si="5"/>
        <v>-1.0690531740780674E-2</v>
      </c>
      <c r="I116" s="371"/>
      <c r="J116" s="371"/>
      <c r="K116" s="371"/>
      <c r="L116" s="370"/>
    </row>
    <row r="117" spans="1:12" x14ac:dyDescent="0.25">
      <c r="A117" s="370" t="s">
        <v>427</v>
      </c>
      <c r="B117" s="634">
        <v>42776</v>
      </c>
      <c r="C117" s="370">
        <v>15</v>
      </c>
      <c r="D117" s="371">
        <v>114.5587</v>
      </c>
      <c r="E117" s="371">
        <v>115.24</v>
      </c>
      <c r="F117" s="371">
        <f t="shared" si="3"/>
        <v>10.219499999999897</v>
      </c>
      <c r="G117" s="371">
        <f t="shared" si="4"/>
        <v>1718.3805</v>
      </c>
      <c r="H117" s="372">
        <f t="shared" si="5"/>
        <v>5.9471694423906098E-3</v>
      </c>
      <c r="I117" s="371"/>
      <c r="J117" s="371"/>
      <c r="K117" s="371"/>
      <c r="L117" s="370"/>
    </row>
    <row r="118" spans="1:12" x14ac:dyDescent="0.25">
      <c r="A118" s="370"/>
      <c r="B118" s="634">
        <v>42796</v>
      </c>
      <c r="C118" s="370">
        <v>0</v>
      </c>
      <c r="D118" s="371"/>
      <c r="E118" s="371"/>
      <c r="F118" s="371">
        <v>142.78</v>
      </c>
      <c r="G118" s="371"/>
      <c r="H118" s="372"/>
      <c r="I118" s="371"/>
      <c r="J118" s="371"/>
      <c r="K118" s="371"/>
      <c r="L118" s="370"/>
    </row>
    <row r="119" spans="1:12" x14ac:dyDescent="0.25">
      <c r="A119" s="370"/>
      <c r="B119" s="634"/>
      <c r="C119" s="370"/>
      <c r="D119" s="371"/>
      <c r="E119" s="371"/>
      <c r="F119" s="371"/>
      <c r="G119" s="371"/>
      <c r="H119" s="372"/>
      <c r="I119" s="371"/>
      <c r="J119" s="371"/>
      <c r="K119" s="371"/>
      <c r="L119" s="370"/>
    </row>
    <row r="120" spans="1:12" x14ac:dyDescent="0.25">
      <c r="A120" s="370"/>
      <c r="B120" s="634"/>
      <c r="C120" s="370"/>
      <c r="D120" s="371"/>
      <c r="E120" s="371"/>
      <c r="F120" s="371"/>
      <c r="G120" s="371"/>
      <c r="H120" s="372"/>
      <c r="I120" s="371"/>
      <c r="J120" s="371"/>
      <c r="K120" s="371"/>
      <c r="L120" s="370"/>
    </row>
    <row r="121" spans="1:12" x14ac:dyDescent="0.25">
      <c r="A121" s="370"/>
      <c r="B121" s="634"/>
      <c r="C121" s="370"/>
      <c r="D121" s="371"/>
      <c r="E121" s="371"/>
      <c r="F121" s="371"/>
      <c r="G121" s="371"/>
      <c r="H121" s="372"/>
      <c r="I121" s="371"/>
      <c r="J121" s="371"/>
      <c r="K121" s="371"/>
      <c r="L121" s="370"/>
    </row>
    <row r="122" spans="1:12" x14ac:dyDescent="0.25">
      <c r="A122" s="370"/>
      <c r="B122" s="634"/>
      <c r="C122" s="370"/>
      <c r="D122" s="371"/>
      <c r="E122" s="371"/>
      <c r="F122" s="371"/>
      <c r="G122" s="371"/>
      <c r="H122" s="372"/>
      <c r="I122" s="371"/>
      <c r="J122" s="371"/>
      <c r="K122" s="371"/>
      <c r="L122" s="370"/>
    </row>
    <row r="123" spans="1:12" x14ac:dyDescent="0.25">
      <c r="A123" s="370"/>
      <c r="B123" s="634"/>
      <c r="C123" s="370"/>
      <c r="D123" s="371"/>
      <c r="E123" s="371"/>
      <c r="F123" s="371"/>
      <c r="G123" s="371"/>
      <c r="H123" s="372"/>
      <c r="I123" s="371"/>
      <c r="J123" s="371"/>
      <c r="K123" s="371"/>
      <c r="L123" s="370"/>
    </row>
    <row r="124" spans="1:12" x14ac:dyDescent="0.25">
      <c r="A124" s="370"/>
      <c r="B124" s="634"/>
      <c r="C124" s="370"/>
      <c r="D124" s="371"/>
      <c r="E124" s="371"/>
      <c r="F124" s="371"/>
      <c r="G124" s="371"/>
      <c r="H124" s="372"/>
      <c r="I124" s="371"/>
      <c r="J124" s="371"/>
      <c r="K124" s="371"/>
      <c r="L124" s="370"/>
    </row>
    <row r="125" spans="1:12" x14ac:dyDescent="0.25">
      <c r="A125" s="370"/>
      <c r="B125" s="634"/>
      <c r="C125" s="370"/>
      <c r="D125" s="371"/>
      <c r="E125" s="371"/>
      <c r="F125" s="371"/>
      <c r="G125" s="371"/>
      <c r="H125" s="372"/>
      <c r="I125" s="371"/>
      <c r="J125" s="371"/>
      <c r="K125" s="371"/>
      <c r="L125" s="370"/>
    </row>
    <row r="126" spans="1:12" x14ac:dyDescent="0.25">
      <c r="A126" s="370"/>
      <c r="B126" s="634"/>
      <c r="C126" s="370"/>
      <c r="D126" s="371"/>
      <c r="E126" s="371"/>
      <c r="F126" s="371"/>
      <c r="G126" s="371"/>
      <c r="H126" s="372"/>
      <c r="I126" s="371"/>
      <c r="J126" s="371"/>
      <c r="K126" s="371"/>
      <c r="L126" s="370"/>
    </row>
    <row r="127" spans="1:12" x14ac:dyDescent="0.25">
      <c r="A127" s="370"/>
      <c r="B127" s="634"/>
      <c r="C127" s="370"/>
      <c r="D127" s="371"/>
      <c r="E127" s="371"/>
      <c r="F127" s="371"/>
      <c r="G127" s="371"/>
      <c r="H127" s="372"/>
      <c r="I127" s="453"/>
      <c r="J127" s="371"/>
      <c r="K127" s="371"/>
      <c r="L127" s="370"/>
    </row>
    <row r="128" spans="1:12" x14ac:dyDescent="0.25">
      <c r="A128" s="370"/>
      <c r="B128" s="634"/>
      <c r="C128" s="370"/>
      <c r="D128" s="371"/>
      <c r="E128" s="371"/>
      <c r="F128" s="371"/>
      <c r="G128" s="371"/>
      <c r="H128" s="372"/>
      <c r="I128" s="371"/>
      <c r="J128" s="371"/>
      <c r="K128" s="371"/>
      <c r="L128" s="370"/>
    </row>
    <row r="129" spans="1:12" x14ac:dyDescent="0.25">
      <c r="A129" s="370"/>
      <c r="B129" s="634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</row>
    <row r="130" spans="1:12" x14ac:dyDescent="0.25">
      <c r="A130" s="370"/>
      <c r="B130" s="634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</row>
    <row r="131" spans="1:12" x14ac:dyDescent="0.25">
      <c r="A131" s="370"/>
      <c r="B131" s="634"/>
      <c r="C131" s="370"/>
      <c r="D131" s="371"/>
      <c r="E131" s="371"/>
      <c r="F131" s="371"/>
      <c r="G131" s="371"/>
      <c r="H131" s="372"/>
      <c r="I131" s="371"/>
      <c r="J131" s="371"/>
      <c r="K131" s="371"/>
      <c r="L131" s="370"/>
    </row>
    <row r="132" spans="1:12" x14ac:dyDescent="0.25">
      <c r="A132" s="370"/>
      <c r="B132" s="634"/>
      <c r="C132" s="370"/>
      <c r="D132" s="371"/>
      <c r="E132" s="371"/>
      <c r="F132" s="371"/>
      <c r="G132" s="371"/>
      <c r="H132" s="372"/>
      <c r="I132" s="371"/>
      <c r="J132" s="371"/>
      <c r="K132" s="371"/>
      <c r="L132" s="370"/>
    </row>
    <row r="133" spans="1:12" x14ac:dyDescent="0.25">
      <c r="A133" s="370"/>
      <c r="B133" s="634"/>
      <c r="C133" s="370"/>
      <c r="D133" s="371"/>
      <c r="E133" s="371"/>
      <c r="F133" s="371"/>
      <c r="G133" s="371"/>
      <c r="H133" s="372"/>
      <c r="I133" s="371"/>
      <c r="J133" s="371"/>
      <c r="K133" s="371"/>
      <c r="L133" s="370"/>
    </row>
    <row r="134" spans="1:12" x14ac:dyDescent="0.25">
      <c r="A134" s="370"/>
      <c r="B134" s="634"/>
      <c r="C134" s="370"/>
      <c r="D134" s="371"/>
      <c r="E134" s="371"/>
      <c r="F134" s="371"/>
      <c r="G134" s="371"/>
      <c r="H134" s="372"/>
      <c r="I134" s="371"/>
      <c r="J134" s="371"/>
      <c r="K134" s="371"/>
      <c r="L134" s="370"/>
    </row>
    <row r="135" spans="1:12" x14ac:dyDescent="0.25">
      <c r="A135" s="370"/>
      <c r="B135" s="634"/>
      <c r="C135" s="370"/>
      <c r="D135" s="371"/>
      <c r="E135" s="371"/>
      <c r="F135" s="371"/>
      <c r="G135" s="371"/>
      <c r="H135" s="372"/>
      <c r="I135" s="371"/>
      <c r="J135" s="371"/>
      <c r="K135" s="371"/>
      <c r="L135" s="370"/>
    </row>
    <row r="136" spans="1:12" x14ac:dyDescent="0.25">
      <c r="A136" s="370"/>
      <c r="B136" s="634"/>
      <c r="C136" s="370"/>
      <c r="D136" s="371"/>
      <c r="E136" s="371"/>
      <c r="F136" s="371"/>
      <c r="G136" s="371"/>
      <c r="H136" s="372"/>
      <c r="I136" s="371"/>
      <c r="J136" s="371"/>
      <c r="K136" s="371"/>
      <c r="L136" s="370"/>
    </row>
    <row r="137" spans="1:12" x14ac:dyDescent="0.25">
      <c r="A137" s="370"/>
      <c r="B137" s="634"/>
      <c r="C137" s="370"/>
      <c r="D137" s="371"/>
      <c r="E137" s="371"/>
      <c r="F137" s="371"/>
      <c r="G137" s="371"/>
      <c r="H137" s="372"/>
      <c r="I137" s="371"/>
      <c r="J137" s="371"/>
      <c r="K137" s="371"/>
      <c r="L137" s="370"/>
    </row>
    <row r="138" spans="1:12" x14ac:dyDescent="0.25">
      <c r="A138" s="370"/>
      <c r="B138" s="634"/>
      <c r="C138" s="370"/>
      <c r="D138" s="371"/>
      <c r="E138" s="371"/>
      <c r="F138" s="371"/>
      <c r="G138" s="371"/>
      <c r="H138" s="372"/>
      <c r="I138" s="371"/>
      <c r="J138" s="371"/>
      <c r="K138" s="371"/>
      <c r="L138" s="370"/>
    </row>
    <row r="139" spans="1:12" x14ac:dyDescent="0.25">
      <c r="A139" s="370"/>
      <c r="B139" s="634"/>
      <c r="C139" s="370"/>
      <c r="D139" s="371"/>
      <c r="E139" s="371"/>
      <c r="F139" s="371"/>
      <c r="G139" s="371"/>
      <c r="H139" s="372"/>
      <c r="I139" s="371"/>
      <c r="J139" s="371"/>
      <c r="K139" s="371"/>
      <c r="L139" s="370"/>
    </row>
    <row r="140" spans="1:12" x14ac:dyDescent="0.25">
      <c r="A140" s="370"/>
      <c r="B140" s="634"/>
      <c r="C140" s="370"/>
      <c r="D140" s="371"/>
      <c r="E140" s="371"/>
      <c r="F140" s="371"/>
      <c r="G140" s="371"/>
      <c r="H140" s="372"/>
      <c r="I140" s="371"/>
      <c r="J140" s="371"/>
      <c r="K140" s="371"/>
      <c r="L140" s="370"/>
    </row>
    <row r="141" spans="1:12" x14ac:dyDescent="0.25">
      <c r="A141" s="370"/>
      <c r="B141" s="634"/>
      <c r="C141" s="370"/>
      <c r="D141" s="371"/>
      <c r="E141" s="371"/>
      <c r="F141" s="371"/>
      <c r="G141" s="371"/>
      <c r="H141" s="372"/>
      <c r="I141" s="371"/>
      <c r="J141" s="371"/>
      <c r="K141" s="371"/>
      <c r="L141" s="370"/>
    </row>
    <row r="142" spans="1:12" x14ac:dyDescent="0.25">
      <c r="A142" s="370"/>
      <c r="B142" s="634"/>
      <c r="C142" s="370"/>
      <c r="D142" s="371"/>
      <c r="E142" s="371"/>
      <c r="F142" s="371"/>
      <c r="G142" s="371"/>
      <c r="H142" s="372"/>
      <c r="I142" s="371"/>
      <c r="J142" s="371"/>
      <c r="K142" s="371"/>
      <c r="L142" s="370"/>
    </row>
    <row r="143" spans="1:12" x14ac:dyDescent="0.25">
      <c r="A143" s="370"/>
      <c r="B143" s="634"/>
      <c r="C143" s="370"/>
      <c r="D143" s="371"/>
      <c r="E143" s="371"/>
      <c r="F143" s="371"/>
      <c r="G143" s="371"/>
      <c r="H143" s="372"/>
      <c r="I143" s="371"/>
      <c r="J143" s="371"/>
      <c r="K143" s="371"/>
      <c r="L143" s="370"/>
    </row>
    <row r="144" spans="1:12" x14ac:dyDescent="0.25">
      <c r="A144" s="370"/>
      <c r="B144" s="634"/>
      <c r="C144" s="370"/>
      <c r="D144" s="371"/>
      <c r="E144" s="371"/>
      <c r="F144" s="371"/>
      <c r="G144" s="371"/>
      <c r="H144" s="372"/>
      <c r="I144" s="371"/>
      <c r="J144" s="371"/>
      <c r="K144" s="371"/>
      <c r="L144" s="370"/>
    </row>
    <row r="145" spans="1:12" x14ac:dyDescent="0.25">
      <c r="A145" s="370"/>
      <c r="B145" s="634"/>
      <c r="C145" s="370"/>
      <c r="D145" s="371"/>
      <c r="E145" s="371"/>
      <c r="F145" s="371"/>
      <c r="G145" s="371"/>
      <c r="H145" s="372"/>
      <c r="I145" s="371"/>
      <c r="J145" s="371"/>
      <c r="K145" s="371"/>
      <c r="L145" s="370"/>
    </row>
    <row r="146" spans="1:12" x14ac:dyDescent="0.25">
      <c r="A146" s="370"/>
      <c r="B146" s="634"/>
      <c r="C146" s="370"/>
      <c r="D146" s="371"/>
      <c r="E146" s="371"/>
      <c r="F146" s="371"/>
      <c r="G146" s="371"/>
      <c r="H146" s="372"/>
      <c r="I146" s="371"/>
      <c r="J146" s="371"/>
      <c r="K146" s="371"/>
      <c r="L146" s="370"/>
    </row>
    <row r="147" spans="1:12" x14ac:dyDescent="0.25">
      <c r="A147" s="370"/>
      <c r="B147" s="634"/>
      <c r="C147" s="370"/>
      <c r="D147" s="371"/>
      <c r="E147" s="371"/>
      <c r="F147" s="371"/>
      <c r="G147" s="371"/>
      <c r="H147" s="372"/>
      <c r="I147" s="371"/>
      <c r="J147" s="371"/>
      <c r="K147" s="371"/>
      <c r="L147" s="370"/>
    </row>
    <row r="148" spans="1:12" x14ac:dyDescent="0.25">
      <c r="A148" s="370"/>
      <c r="B148" s="634"/>
      <c r="C148" s="370"/>
      <c r="D148" s="371"/>
      <c r="E148" s="371"/>
      <c r="F148" s="371"/>
      <c r="G148" s="371"/>
      <c r="H148" s="372"/>
      <c r="I148" s="371"/>
      <c r="J148" s="371"/>
      <c r="K148" s="371"/>
      <c r="L148" s="370"/>
    </row>
    <row r="149" spans="1:12" x14ac:dyDescent="0.25">
      <c r="A149" s="370"/>
      <c r="B149" s="634"/>
      <c r="C149" s="370"/>
      <c r="D149" s="371"/>
      <c r="E149" s="371"/>
      <c r="F149" s="371"/>
      <c r="G149" s="371"/>
      <c r="H149" s="372"/>
      <c r="I149" s="371"/>
      <c r="J149" s="371"/>
      <c r="K149" s="371"/>
      <c r="L149" s="370"/>
    </row>
    <row r="150" spans="1:12" x14ac:dyDescent="0.25">
      <c r="A150" s="370"/>
      <c r="B150" s="634"/>
      <c r="C150" s="370"/>
      <c r="D150" s="371"/>
      <c r="E150" s="371"/>
      <c r="F150" s="371"/>
      <c r="G150" s="370"/>
      <c r="H150" s="370"/>
      <c r="I150" s="371"/>
      <c r="J150" s="371"/>
      <c r="K150" s="371"/>
      <c r="L150" s="370"/>
    </row>
    <row r="151" spans="1:12" x14ac:dyDescent="0.25">
      <c r="A151" s="370"/>
      <c r="B151" s="634"/>
      <c r="C151" s="370"/>
      <c r="D151" s="371"/>
      <c r="E151" s="371"/>
      <c r="F151" s="371"/>
      <c r="G151" s="370"/>
      <c r="H151" s="370"/>
      <c r="I151" s="371"/>
      <c r="J151" s="371"/>
      <c r="K151" s="371"/>
      <c r="L151" s="370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922" priority="19">
      <formula>F25&gt;0</formula>
    </cfRule>
    <cfRule type="expression" dxfId="1921" priority="20">
      <formula>F25&lt;0</formula>
    </cfRule>
  </conditionalFormatting>
  <conditionalFormatting sqref="Q7">
    <cfRule type="expression" dxfId="1920" priority="17">
      <formula>Q7&gt;0</formula>
    </cfRule>
    <cfRule type="expression" dxfId="1919" priority="18">
      <formula>Q7&lt;0</formula>
    </cfRule>
  </conditionalFormatting>
  <conditionalFormatting sqref="Q8">
    <cfRule type="expression" dxfId="1918" priority="15">
      <formula>Q8&gt;0</formula>
    </cfRule>
    <cfRule type="expression" dxfId="1917" priority="16">
      <formula>Q8&lt;0</formula>
    </cfRule>
  </conditionalFormatting>
  <conditionalFormatting sqref="M74">
    <cfRule type="expression" dxfId="1916" priority="9">
      <formula>M74&gt;0</formula>
    </cfRule>
    <cfRule type="expression" dxfId="1915" priority="10">
      <formula>M74&lt;0</formula>
    </cfRule>
  </conditionalFormatting>
  <conditionalFormatting sqref="F113:F149 H113:H149">
    <cfRule type="expression" dxfId="1914" priority="7">
      <formula>F113&gt;0</formula>
    </cfRule>
    <cfRule type="expression" dxfId="1913" priority="8">
      <formula>F113&lt;0</formula>
    </cfRule>
  </conditionalFormatting>
  <conditionalFormatting sqref="F105:F112">
    <cfRule type="expression" dxfId="1912" priority="5">
      <formula>F105&gt;0</formula>
    </cfRule>
    <cfRule type="expression" dxfId="1911" priority="6">
      <formula>F105&lt;0</formula>
    </cfRule>
  </conditionalFormatting>
  <conditionalFormatting sqref="H105:H112">
    <cfRule type="expression" dxfId="1910" priority="3">
      <formula>H105&gt;0</formula>
    </cfRule>
    <cfRule type="expression" dxfId="1909" priority="4">
      <formula>H105&lt;0</formula>
    </cfRule>
  </conditionalFormatting>
  <conditionalFormatting sqref="Q10">
    <cfRule type="expression" dxfId="1908" priority="1">
      <formula>Q10&gt;0</formula>
    </cfRule>
    <cfRule type="expression" dxfId="190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735</v>
      </c>
      <c r="B2" s="444">
        <v>43020</v>
      </c>
      <c r="C2" s="7">
        <v>10</v>
      </c>
      <c r="D2" s="43">
        <v>190.16</v>
      </c>
      <c r="E2" s="43">
        <v>0</v>
      </c>
      <c r="F2" s="43">
        <f t="shared" ref="F2:F12" si="0">C2*D2+E2</f>
        <v>1901.6</v>
      </c>
      <c r="G2" s="444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115</v>
      </c>
      <c r="T2" s="1">
        <v>43080</v>
      </c>
      <c r="U2" t="s">
        <v>865</v>
      </c>
    </row>
    <row r="3" spans="1:21" x14ac:dyDescent="0.25">
      <c r="A3" s="22" t="s">
        <v>71</v>
      </c>
      <c r="B3" s="44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4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200.63043478260869</v>
      </c>
      <c r="T3" s="1"/>
    </row>
    <row r="4" spans="1:21" x14ac:dyDescent="0.25">
      <c r="B4" s="44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4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203.35</v>
      </c>
      <c r="R4" s="508">
        <v>1.4E-3</v>
      </c>
      <c r="T4" s="791">
        <v>43103</v>
      </c>
      <c r="U4" s="30" t="s">
        <v>890</v>
      </c>
    </row>
    <row r="5" spans="1:21" x14ac:dyDescent="0.25">
      <c r="B5" s="44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23385.25</v>
      </c>
    </row>
    <row r="6" spans="1:21" x14ac:dyDescent="0.25">
      <c r="B6" s="44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23072.5</v>
      </c>
      <c r="T6" s="1">
        <v>43140</v>
      </c>
      <c r="U6" t="s">
        <v>982</v>
      </c>
    </row>
    <row r="7" spans="1:21" x14ac:dyDescent="0.25">
      <c r="B7" s="44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537.52000000000044</v>
      </c>
      <c r="R7" s="29">
        <v>43168</v>
      </c>
    </row>
    <row r="8" spans="1:21" x14ac:dyDescent="0.25">
      <c r="B8" s="44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312.75</v>
      </c>
    </row>
    <row r="9" spans="1:21" x14ac:dyDescent="0.25">
      <c r="B9" s="485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1.3555098060461589E-2</v>
      </c>
      <c r="T9" s="159">
        <v>43174</v>
      </c>
      <c r="U9" t="s">
        <v>82</v>
      </c>
    </row>
    <row r="10" spans="1:21" x14ac:dyDescent="0.25">
      <c r="B10" s="485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B11" s="485">
        <v>43143</v>
      </c>
      <c r="C11" s="4">
        <v>45</v>
      </c>
      <c r="D11" s="3">
        <v>206.78</v>
      </c>
      <c r="E11" s="3">
        <v>0</v>
      </c>
      <c r="F11" s="3">
        <f t="shared" si="0"/>
        <v>9305.1</v>
      </c>
      <c r="H11" s="70"/>
      <c r="O11" s="11" t="s">
        <v>176</v>
      </c>
      <c r="P11" s="33"/>
      <c r="Q11" s="134">
        <v>0</v>
      </c>
    </row>
    <row r="12" spans="1:21" x14ac:dyDescent="0.25">
      <c r="B12" s="485">
        <v>43157</v>
      </c>
      <c r="C12" s="4">
        <v>15</v>
      </c>
      <c r="D12" s="2">
        <v>199.58</v>
      </c>
      <c r="E12" s="2">
        <v>0</v>
      </c>
      <c r="F12" s="2">
        <f t="shared" si="0"/>
        <v>2993.7000000000003</v>
      </c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11" t="s">
        <v>78</v>
      </c>
      <c r="P16" s="811"/>
    </row>
    <row r="17" spans="1:16" ht="15.75" thickTop="1" x14ac:dyDescent="0.25">
      <c r="O17" s="81">
        <v>1.1000000000000001</v>
      </c>
      <c r="P17" s="81">
        <f>O17*$Q$4</f>
        <v>223.685</v>
      </c>
    </row>
    <row r="18" spans="1:16" x14ac:dyDescent="0.25">
      <c r="A18" s="31" t="s">
        <v>81</v>
      </c>
      <c r="B18" s="14"/>
      <c r="C18" s="14">
        <f>SUM(C2:C12)</f>
        <v>195</v>
      </c>
      <c r="D18" s="18"/>
      <c r="E18" s="18"/>
      <c r="F18" s="18">
        <f>SUM(F2:F12)</f>
        <v>40870.699999999997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221.6515</v>
      </c>
    </row>
    <row r="19" spans="1:16" ht="15.75" thickBot="1" x14ac:dyDescent="0.3">
      <c r="A19" s="347" t="s">
        <v>194</v>
      </c>
      <c r="B19" s="348"/>
      <c r="C19" s="349">
        <f>SumByColor($A$19,C2:C17)</f>
        <v>80</v>
      </c>
      <c r="D19" s="349"/>
      <c r="E19" s="349"/>
      <c r="F19" s="350">
        <f>SumByColor($A$19,F2:F17)</f>
        <v>17160</v>
      </c>
      <c r="G19" s="349"/>
      <c r="H19" s="349">
        <f>SumByColor($A$19,H2:H17)</f>
        <v>80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  <c r="O19" s="81">
        <v>1.08</v>
      </c>
      <c r="P19" s="81">
        <f t="shared" si="1"/>
        <v>219.61799999999999</v>
      </c>
    </row>
    <row r="20" spans="1:16" x14ac:dyDescent="0.25">
      <c r="O20" s="81">
        <v>1.07</v>
      </c>
      <c r="P20" s="81">
        <f t="shared" si="1"/>
        <v>217.58450000000002</v>
      </c>
    </row>
    <row r="21" spans="1:16" x14ac:dyDescent="0.25">
      <c r="O21" s="81">
        <v>1.06</v>
      </c>
      <c r="P21" s="81">
        <f t="shared" si="1"/>
        <v>215.55100000000002</v>
      </c>
    </row>
    <row r="22" spans="1:16" x14ac:dyDescent="0.25">
      <c r="O22" s="81">
        <v>1.05</v>
      </c>
      <c r="P22" s="81">
        <f t="shared" si="1"/>
        <v>213.51750000000001</v>
      </c>
    </row>
    <row r="23" spans="1:16" x14ac:dyDescent="0.25">
      <c r="O23" s="81">
        <v>1.04</v>
      </c>
      <c r="P23" s="81">
        <f t="shared" si="1"/>
        <v>211.48400000000001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1.03</v>
      </c>
      <c r="P24" s="81">
        <f t="shared" si="1"/>
        <v>209.45050000000001</v>
      </c>
    </row>
    <row r="25" spans="1:16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2">C25*(E25-D25)</f>
        <v>277.80000000000058</v>
      </c>
      <c r="G25" s="39">
        <f t="shared" ref="G25" si="3">D25*C25</f>
        <v>5679.5999999999995</v>
      </c>
      <c r="H25" s="226">
        <f t="shared" ref="H25" si="4">(E25-D25)/D25</f>
        <v>4.8911895203887702E-2</v>
      </c>
      <c r="I25" s="39"/>
      <c r="J25" s="39"/>
      <c r="K25" s="39"/>
      <c r="L25" s="39"/>
      <c r="O25" s="81">
        <v>1.02</v>
      </c>
      <c r="P25" s="81">
        <f t="shared" si="1"/>
        <v>207.417</v>
      </c>
    </row>
    <row r="26" spans="1:16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5">C26*(E26-D26)</f>
        <v>391.20000000000061</v>
      </c>
      <c r="G26" s="39">
        <f t="shared" ref="G26" si="6">D26*C26</f>
        <v>5679.5999999999995</v>
      </c>
      <c r="H26" s="226">
        <f t="shared" ref="H26" si="7">(E26-D26)/D26</f>
        <v>6.8878090006338585E-2</v>
      </c>
      <c r="I26" s="39"/>
      <c r="J26" s="39"/>
      <c r="K26" s="39"/>
      <c r="L26" s="39"/>
      <c r="O26" s="81">
        <v>1.01</v>
      </c>
      <c r="P26" s="81">
        <f t="shared" si="1"/>
        <v>205.3835</v>
      </c>
    </row>
    <row r="27" spans="1:16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8">C27*(E27-D27)</f>
        <v>1209.3000000000002</v>
      </c>
      <c r="G27" s="39">
        <f t="shared" ref="G27" si="9">D27*C27</f>
        <v>5679.5999999999995</v>
      </c>
      <c r="H27" s="226">
        <f t="shared" ref="H27" si="10">(E27-D27)/D27</f>
        <v>0.21291992393830553</v>
      </c>
      <c r="I27" s="39"/>
      <c r="J27" s="39">
        <f>F27+$M$66</f>
        <v>1434.0700000000006</v>
      </c>
      <c r="K27" s="39"/>
      <c r="L27" s="158"/>
      <c r="O27" s="81">
        <v>1</v>
      </c>
      <c r="P27" s="81">
        <f t="shared" si="1"/>
        <v>203.35</v>
      </c>
    </row>
    <row r="28" spans="1:16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1">C28*(E28-D28)</f>
        <v>1602.7500000000005</v>
      </c>
      <c r="G28" s="39">
        <f t="shared" ref="G28" si="12">D28*C28</f>
        <v>3299.6499999999996</v>
      </c>
      <c r="H28" s="226">
        <f t="shared" ref="H28" si="13">(E28-D28)/D28</f>
        <v>0.4857333353537498</v>
      </c>
      <c r="I28" s="39"/>
      <c r="J28" s="39">
        <f>F28+$M$66</f>
        <v>1827.5200000000009</v>
      </c>
      <c r="K28" s="39"/>
      <c r="L28" s="158"/>
      <c r="O28" s="81">
        <v>0.99</v>
      </c>
      <c r="P28" s="81">
        <f t="shared" si="1"/>
        <v>201.31649999999999</v>
      </c>
    </row>
    <row r="29" spans="1:16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4">C29*(E29-D29)</f>
        <v>1459.5500000000004</v>
      </c>
      <c r="G29" s="39">
        <f t="shared" ref="G29:G33" si="15">D29*C29</f>
        <v>3299.6499999999996</v>
      </c>
      <c r="H29" s="226">
        <f t="shared" ref="H29:H33" si="16">(E29-D29)/D29</f>
        <v>0.44233479308411516</v>
      </c>
      <c r="I29" s="39"/>
      <c r="J29" s="39">
        <f>F29+$M$66</f>
        <v>1684.3200000000008</v>
      </c>
      <c r="K29" s="39"/>
      <c r="L29" s="158"/>
      <c r="O29" s="81">
        <v>0.98</v>
      </c>
      <c r="P29" s="81">
        <f t="shared" si="1"/>
        <v>199.28299999999999</v>
      </c>
    </row>
    <row r="30" spans="1:16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4"/>
        <v>1307.5509999999999</v>
      </c>
      <c r="G30" s="39">
        <f t="shared" si="15"/>
        <v>6782.3489999999993</v>
      </c>
      <c r="H30" s="226">
        <f t="shared" si="16"/>
        <v>0.19278733665872988</v>
      </c>
      <c r="I30" s="39"/>
      <c r="J30" s="39">
        <v>1532</v>
      </c>
      <c r="K30" s="39"/>
      <c r="L30" s="158"/>
      <c r="O30" s="81">
        <v>0.97</v>
      </c>
      <c r="P30" s="81">
        <f t="shared" si="1"/>
        <v>197.24949999999998</v>
      </c>
    </row>
    <row r="31" spans="1:16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4"/>
        <v>1487.77</v>
      </c>
      <c r="G31" s="39">
        <f t="shared" si="15"/>
        <v>3259.23</v>
      </c>
      <c r="H31" s="226">
        <f t="shared" si="16"/>
        <v>0.45647898429997263</v>
      </c>
      <c r="I31" s="39"/>
      <c r="J31" s="39">
        <v>1712.54</v>
      </c>
      <c r="K31" s="39"/>
      <c r="L31" s="158"/>
      <c r="O31" s="81">
        <v>0.96</v>
      </c>
      <c r="P31" s="81">
        <f t="shared" si="1"/>
        <v>195.21599999999998</v>
      </c>
    </row>
    <row r="32" spans="1:16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4"/>
        <v>1457.9214999999999</v>
      </c>
      <c r="G32" s="39">
        <f t="shared" si="15"/>
        <v>6767.4285</v>
      </c>
      <c r="H32" s="226">
        <f t="shared" si="16"/>
        <v>0.21543212462458969</v>
      </c>
      <c r="I32" s="39"/>
      <c r="J32" s="39">
        <v>1683</v>
      </c>
      <c r="K32" s="39"/>
      <c r="L32" s="158"/>
      <c r="O32" s="81">
        <v>0.95</v>
      </c>
      <c r="P32" s="81">
        <f t="shared" si="1"/>
        <v>193.18249999999998</v>
      </c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4"/>
        <v>1239.3180000000002</v>
      </c>
      <c r="G33" s="39">
        <f t="shared" si="15"/>
        <v>9056.232</v>
      </c>
      <c r="H33" s="226">
        <f t="shared" si="16"/>
        <v>0.13684698006853185</v>
      </c>
      <c r="I33" s="39"/>
      <c r="J33" s="39">
        <v>1464</v>
      </c>
      <c r="K33" s="39"/>
      <c r="L33" s="158"/>
      <c r="O33" s="81">
        <v>0.94</v>
      </c>
      <c r="P33" s="81">
        <f t="shared" si="1"/>
        <v>191.14899999999997</v>
      </c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9" si="17">C34*(E34-D34)</f>
        <v>1037.7180000000008</v>
      </c>
      <c r="G34" s="39">
        <f t="shared" ref="G34:G39" si="18">D34*C34</f>
        <v>9056.232</v>
      </c>
      <c r="H34" s="226">
        <f t="shared" ref="H34:H39" si="19">(E34-D34)/D34</f>
        <v>0.11458606625801998</v>
      </c>
      <c r="I34" s="39"/>
      <c r="J34" s="39">
        <v>1262</v>
      </c>
      <c r="K34" s="39"/>
      <c r="L34" s="158"/>
      <c r="O34" s="81">
        <v>0.93</v>
      </c>
      <c r="P34" s="81">
        <f t="shared" si="1"/>
        <v>189.1155</v>
      </c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7"/>
        <v>810.7000000000005</v>
      </c>
      <c r="G35" s="39">
        <f t="shared" si="18"/>
        <v>11256.3</v>
      </c>
      <c r="H35" s="226">
        <f t="shared" si="19"/>
        <v>7.2021889963842511E-2</v>
      </c>
      <c r="I35" s="39"/>
      <c r="J35" s="39">
        <v>1036</v>
      </c>
      <c r="K35" s="39"/>
      <c r="L35" s="158"/>
      <c r="O35" s="81">
        <v>0.92</v>
      </c>
      <c r="P35" s="81">
        <f t="shared" si="1"/>
        <v>187.08199999999999</v>
      </c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7"/>
        <v>1249.0000000000009</v>
      </c>
      <c r="G36" s="39">
        <f t="shared" si="18"/>
        <v>20610</v>
      </c>
      <c r="H36" s="226">
        <f t="shared" si="19"/>
        <v>6.060164968461916E-2</v>
      </c>
      <c r="I36" s="39"/>
      <c r="J36" s="39">
        <v>1473</v>
      </c>
      <c r="K36" s="39"/>
      <c r="L36" s="39"/>
      <c r="O36" s="81">
        <v>0.91</v>
      </c>
      <c r="P36" s="81">
        <f t="shared" si="1"/>
        <v>185.04849999999999</v>
      </c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7"/>
        <v>1371.6999999999998</v>
      </c>
      <c r="G37" s="39">
        <f t="shared" si="18"/>
        <v>22668.800000000003</v>
      </c>
      <c r="H37" s="226">
        <f t="shared" si="19"/>
        <v>6.0510481366459618E-2</v>
      </c>
      <c r="I37" s="39"/>
      <c r="J37" s="39"/>
      <c r="K37" s="39"/>
      <c r="L37" s="39"/>
      <c r="O37" s="81">
        <v>0.9</v>
      </c>
      <c r="P37" s="81">
        <f t="shared" si="1"/>
        <v>183.01499999999999</v>
      </c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7"/>
        <v>1246.3000000000013</v>
      </c>
      <c r="G38" s="39">
        <f t="shared" si="18"/>
        <v>10773.949999999999</v>
      </c>
      <c r="H38" s="226">
        <f t="shared" si="19"/>
        <v>0.11567716575629193</v>
      </c>
      <c r="I38" s="39"/>
      <c r="J38" s="39">
        <v>1471</v>
      </c>
      <c r="K38" s="39"/>
      <c r="L38" s="39"/>
    </row>
    <row r="39" spans="1:17" x14ac:dyDescent="0.25">
      <c r="B39" s="188">
        <v>43143</v>
      </c>
      <c r="C39" s="10">
        <v>100</v>
      </c>
      <c r="D39" s="39">
        <v>200.78800000000001</v>
      </c>
      <c r="E39" s="39">
        <v>209.48</v>
      </c>
      <c r="F39" s="39">
        <f t="shared" si="17"/>
        <v>869.19999999999789</v>
      </c>
      <c r="G39" s="39">
        <f t="shared" si="18"/>
        <v>20078.800000000003</v>
      </c>
      <c r="H39" s="226">
        <f t="shared" si="19"/>
        <v>4.328943960794459E-2</v>
      </c>
      <c r="I39" s="39"/>
      <c r="J39" s="39">
        <v>1094</v>
      </c>
      <c r="K39" s="39"/>
      <c r="L39" s="39"/>
    </row>
    <row r="40" spans="1:17" x14ac:dyDescent="0.25">
      <c r="B40" s="188">
        <v>43150</v>
      </c>
      <c r="C40" s="10">
        <v>100</v>
      </c>
      <c r="D40" s="39">
        <v>200.78800000000001</v>
      </c>
      <c r="E40" s="39">
        <v>203.15</v>
      </c>
      <c r="F40" s="39">
        <f t="shared" ref="F40" si="20">C40*(E40-D40)</f>
        <v>236.19999999999948</v>
      </c>
      <c r="G40" s="39">
        <f t="shared" ref="G40" si="21">D40*C40</f>
        <v>20078.800000000003</v>
      </c>
      <c r="H40" s="226">
        <f t="shared" ref="H40" si="22">(E40-D40)/D40</f>
        <v>1.1763651214215963E-2</v>
      </c>
      <c r="I40" s="39"/>
      <c r="J40" s="39">
        <v>461</v>
      </c>
      <c r="K40" s="39"/>
      <c r="L40" s="39"/>
    </row>
    <row r="41" spans="1:17" x14ac:dyDescent="0.25">
      <c r="A41" s="29">
        <v>43168</v>
      </c>
      <c r="B41" s="188">
        <v>43156</v>
      </c>
      <c r="C41" s="10">
        <v>100</v>
      </c>
      <c r="D41" s="39">
        <v>200.78800000000001</v>
      </c>
      <c r="E41" s="39">
        <v>207.11</v>
      </c>
      <c r="F41" s="39">
        <f t="shared" ref="F41:F42" si="23">C41*(E41-D41)</f>
        <v>632.20000000000027</v>
      </c>
      <c r="G41" s="39">
        <f t="shared" ref="G41:G42" si="24">D41*C41</f>
        <v>20078.800000000003</v>
      </c>
      <c r="H41" s="226">
        <f t="shared" ref="H41:H42" si="25">(E41-D41)/D41</f>
        <v>3.148594537522164E-2</v>
      </c>
      <c r="I41" s="39"/>
      <c r="J41" s="39">
        <v>857</v>
      </c>
      <c r="K41" s="39"/>
      <c r="L41" s="39"/>
      <c r="Q41" s="2"/>
    </row>
    <row r="42" spans="1:17" x14ac:dyDescent="0.25">
      <c r="B42" s="188">
        <v>43157</v>
      </c>
      <c r="C42" s="10">
        <v>115</v>
      </c>
      <c r="D42" s="39">
        <v>200.63040000000001</v>
      </c>
      <c r="E42" s="39">
        <v>198.93</v>
      </c>
      <c r="F42" s="39">
        <f t="shared" si="23"/>
        <v>-195.54600000000022</v>
      </c>
      <c r="G42" s="39">
        <f t="shared" si="24"/>
        <v>23072.495999999999</v>
      </c>
      <c r="H42" s="226">
        <f t="shared" si="25"/>
        <v>-8.4752858988468432E-3</v>
      </c>
      <c r="I42" s="39"/>
      <c r="J42" s="39">
        <v>29</v>
      </c>
      <c r="K42" s="39"/>
      <c r="L42" s="39"/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224.77000000000044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735</v>
      </c>
      <c r="B68" s="580">
        <v>42972</v>
      </c>
      <c r="C68" s="577">
        <v>15</v>
      </c>
      <c r="D68" s="578">
        <v>210.01</v>
      </c>
      <c r="E68" s="578">
        <v>0</v>
      </c>
      <c r="F68" s="578">
        <f>C68*D68+E68</f>
        <v>3150.1499999999996</v>
      </c>
      <c r="G68" s="580">
        <v>43005</v>
      </c>
      <c r="H68" s="577">
        <v>15</v>
      </c>
      <c r="I68" s="578">
        <v>225</v>
      </c>
      <c r="J68" s="578">
        <v>0.08</v>
      </c>
      <c r="K68" s="578">
        <f>H68*I68-J68</f>
        <v>3374.92</v>
      </c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15</v>
      </c>
      <c r="D84" s="706"/>
      <c r="E84" s="706"/>
      <c r="F84" s="706">
        <f>SUM(F68:F72)</f>
        <v>3150.1499999999996</v>
      </c>
      <c r="G84" s="705"/>
      <c r="H84" s="707">
        <f>SUM(H68:H71)</f>
        <v>15</v>
      </c>
      <c r="I84" s="706"/>
      <c r="J84" s="706"/>
      <c r="K84" s="706">
        <f>SUM(K68:K71)</f>
        <v>3374.92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6">C89*(E89-D89)</f>
        <v>35.250000000000341</v>
      </c>
      <c r="G89" s="39">
        <f t="shared" ref="G89:G90" si="27">D89*C89</f>
        <v>3150.1499999999996</v>
      </c>
      <c r="H89" s="226">
        <f t="shared" ref="H89:H90" si="28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6"/>
        <v>208.35000000000022</v>
      </c>
      <c r="G90" s="39">
        <f t="shared" si="27"/>
        <v>3150.1499999999996</v>
      </c>
      <c r="H90" s="226">
        <f t="shared" si="28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6" priority="35">
      <formula>F47&gt;0</formula>
    </cfRule>
    <cfRule type="expression" dxfId="1905" priority="36">
      <formula>F47&lt;0</formula>
    </cfRule>
  </conditionalFormatting>
  <conditionalFormatting sqref="Q7">
    <cfRule type="expression" dxfId="1904" priority="33">
      <formula>Q7&gt;0</formula>
    </cfRule>
    <cfRule type="expression" dxfId="1903" priority="34">
      <formula>Q7&lt;0</formula>
    </cfRule>
  </conditionalFormatting>
  <conditionalFormatting sqref="Q8">
    <cfRule type="expression" dxfId="1902" priority="31">
      <formula>Q8&gt;0</formula>
    </cfRule>
    <cfRule type="expression" dxfId="1901" priority="32">
      <formula>Q8&lt;0</formula>
    </cfRule>
  </conditionalFormatting>
  <conditionalFormatting sqref="F30:F46">
    <cfRule type="expression" dxfId="1900" priority="29">
      <formula>F30&gt;0</formula>
    </cfRule>
    <cfRule type="expression" dxfId="1899" priority="30">
      <formula>F30&lt;0</formula>
    </cfRule>
  </conditionalFormatting>
  <conditionalFormatting sqref="H30:H46">
    <cfRule type="expression" dxfId="1898" priority="27">
      <formula>H30&gt;0</formula>
    </cfRule>
    <cfRule type="expression" dxfId="1897" priority="28">
      <formula>H30&lt;0</formula>
    </cfRule>
  </conditionalFormatting>
  <conditionalFormatting sqref="Q10">
    <cfRule type="expression" dxfId="1896" priority="21">
      <formula>Q10&gt;0</formula>
    </cfRule>
    <cfRule type="expression" dxfId="1895" priority="22">
      <formula>Q10&lt;0</formula>
    </cfRule>
  </conditionalFormatting>
  <conditionalFormatting sqref="J25:J46">
    <cfRule type="expression" dxfId="1894" priority="19">
      <formula>J25&gt;0</formula>
    </cfRule>
    <cfRule type="expression" dxfId="1893" priority="20">
      <formula>J25&lt;0</formula>
    </cfRule>
  </conditionalFormatting>
  <conditionalFormatting sqref="K25:K38">
    <cfRule type="expression" dxfId="1892" priority="17">
      <formula>K25&gt;0</formula>
    </cfRule>
    <cfRule type="expression" dxfId="1891" priority="18">
      <formula>K25&lt;0</formula>
    </cfRule>
  </conditionalFormatting>
  <conditionalFormatting sqref="L25:L38">
    <cfRule type="expression" dxfId="1890" priority="15">
      <formula>L25&gt;0</formula>
    </cfRule>
    <cfRule type="expression" dxfId="1889" priority="16">
      <formula>L25&lt;0</formula>
    </cfRule>
  </conditionalFormatting>
  <conditionalFormatting sqref="F89:F110">
    <cfRule type="expression" dxfId="1888" priority="13">
      <formula>F89&gt;0</formula>
    </cfRule>
    <cfRule type="expression" dxfId="1887" priority="14">
      <formula>F89&lt;0</formula>
    </cfRule>
  </conditionalFormatting>
  <conditionalFormatting sqref="H89:H110">
    <cfRule type="expression" dxfId="1886" priority="11">
      <formula>H89&gt;0</formula>
    </cfRule>
    <cfRule type="expression" dxfId="1885" priority="12">
      <formula>H89&lt;0</formula>
    </cfRule>
  </conditionalFormatting>
  <conditionalFormatting sqref="J89:J102">
    <cfRule type="expression" dxfId="1884" priority="9">
      <formula>J89&gt;0</formula>
    </cfRule>
    <cfRule type="expression" dxfId="1883" priority="10">
      <formula>J89&lt;0</formula>
    </cfRule>
  </conditionalFormatting>
  <conditionalFormatting sqref="K89:K102">
    <cfRule type="expression" dxfId="1882" priority="7">
      <formula>K89&gt;0</formula>
    </cfRule>
    <cfRule type="expression" dxfId="1881" priority="8">
      <formula>K89&lt;0</formula>
    </cfRule>
  </conditionalFormatting>
  <conditionalFormatting sqref="L89:L102">
    <cfRule type="expression" dxfId="1880" priority="5">
      <formula>L89&gt;0</formula>
    </cfRule>
    <cfRule type="expression" dxfId="1879" priority="6">
      <formula>L89&lt;0</formula>
    </cfRule>
  </conditionalFormatting>
  <conditionalFormatting sqref="F25:F29">
    <cfRule type="expression" dxfId="1878" priority="3">
      <formula>F25&gt;0</formula>
    </cfRule>
    <cfRule type="expression" dxfId="1877" priority="4">
      <formula>F25&lt;0</formula>
    </cfRule>
  </conditionalFormatting>
  <conditionalFormatting sqref="H25:H29">
    <cfRule type="expression" dxfId="1876" priority="1">
      <formula>H25&gt;0</formula>
    </cfRule>
    <cfRule type="expression" dxfId="1875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876</v>
      </c>
      <c r="B2" s="44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4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 t="s">
        <v>954</v>
      </c>
      <c r="M2" s="43">
        <v>10.199999999999999</v>
      </c>
      <c r="O2" s="11" t="s">
        <v>57</v>
      </c>
      <c r="Q2">
        <f>C18-H18</f>
        <v>30</v>
      </c>
      <c r="T2" s="1">
        <v>43119</v>
      </c>
      <c r="U2" t="s">
        <v>957</v>
      </c>
      <c r="W2" s="134"/>
    </row>
    <row r="3" spans="1:23" x14ac:dyDescent="0.25">
      <c r="A3" s="22" t="s">
        <v>71</v>
      </c>
      <c r="B3" s="72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81.441999999999993</v>
      </c>
      <c r="T3" s="1"/>
      <c r="U3" t="s">
        <v>958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92.8</v>
      </c>
      <c r="R4" s="508">
        <v>-1.8700000000000001E-2</v>
      </c>
      <c r="T4" s="1"/>
      <c r="U4" t="s">
        <v>959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2784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2443.2599999999998</v>
      </c>
      <c r="U6" t="s">
        <v>960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340.74000000000024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340.74000000000024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0.13946121165983164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7.3275862068965525E-3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11" t="s">
        <v>78</v>
      </c>
      <c r="P15" s="811"/>
      <c r="W15" s="134"/>
    </row>
    <row r="16" spans="1:23" ht="15.75" thickTop="1" x14ac:dyDescent="0.25">
      <c r="H16" s="70"/>
      <c r="O16" s="81">
        <v>1.1000000000000001</v>
      </c>
      <c r="P16" s="81">
        <f>O16*$Q$4</f>
        <v>102.08</v>
      </c>
      <c r="W16" s="134"/>
    </row>
    <row r="17" spans="1:23" x14ac:dyDescent="0.25">
      <c r="O17" s="81">
        <v>1.0900000000000001</v>
      </c>
      <c r="P17" s="81">
        <f t="shared" ref="P17:P36" si="0">O17*$Q$4</f>
        <v>101.152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30</v>
      </c>
      <c r="I18" s="18"/>
      <c r="J18" s="18"/>
      <c r="K18" s="18">
        <f>SUM(K2:K5)</f>
        <v>2723.94</v>
      </c>
      <c r="L18" s="14"/>
      <c r="M18" s="18">
        <f>SUM(M2:M10)</f>
        <v>10.199999999999999</v>
      </c>
      <c r="O18" s="81">
        <v>1.08</v>
      </c>
      <c r="P18" s="81">
        <f t="shared" si="0"/>
        <v>100.224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2555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81">
        <v>1.07</v>
      </c>
      <c r="P19" s="81">
        <f t="shared" si="0"/>
        <v>99.296000000000006</v>
      </c>
      <c r="W19" s="134"/>
    </row>
    <row r="20" spans="1:23" x14ac:dyDescent="0.25">
      <c r="O20" s="81">
        <v>1.06</v>
      </c>
      <c r="P20" s="81">
        <f t="shared" si="0"/>
        <v>98.367999999999995</v>
      </c>
      <c r="W20" s="134"/>
    </row>
    <row r="21" spans="1:23" x14ac:dyDescent="0.25">
      <c r="O21" s="81">
        <v>1.05</v>
      </c>
      <c r="P21" s="81">
        <f t="shared" si="0"/>
        <v>97.44</v>
      </c>
      <c r="W21" s="134"/>
    </row>
    <row r="22" spans="1:23" x14ac:dyDescent="0.25">
      <c r="O22" s="81">
        <v>1.04</v>
      </c>
      <c r="P22" s="81">
        <f t="shared" si="0"/>
        <v>96.512</v>
      </c>
      <c r="W22" s="134"/>
    </row>
    <row r="23" spans="1:23" x14ac:dyDescent="0.25">
      <c r="O23" s="81">
        <v>1.03</v>
      </c>
      <c r="P23" s="81">
        <f t="shared" si="0"/>
        <v>95.584000000000003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1.02</v>
      </c>
      <c r="P24" s="81">
        <f t="shared" si="0"/>
        <v>94.655999999999992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93.727999999999994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92.8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91.872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6">
        <f t="shared" ref="H28:H30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90.944000000000003</v>
      </c>
      <c r="W28" s="134"/>
    </row>
    <row r="29" spans="1:23" x14ac:dyDescent="0.25">
      <c r="B29" s="188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6">
        <f t="shared" si="12"/>
        <v>4.0176497909893097E-2</v>
      </c>
      <c r="I29" s="39"/>
      <c r="J29" s="39"/>
      <c r="K29" s="39" t="s">
        <v>185</v>
      </c>
      <c r="L29" s="158"/>
      <c r="O29" s="81">
        <v>0.97</v>
      </c>
      <c r="P29" s="81">
        <f t="shared" si="0"/>
        <v>90.015999999999991</v>
      </c>
      <c r="W29" s="134"/>
    </row>
    <row r="30" spans="1:23" x14ac:dyDescent="0.25">
      <c r="B30" s="188">
        <v>43143</v>
      </c>
      <c r="C30" s="10">
        <v>30</v>
      </c>
      <c r="D30" s="39">
        <v>81.441999999999993</v>
      </c>
      <c r="E30" s="39">
        <v>90.57</v>
      </c>
      <c r="F30" s="39">
        <f t="shared" si="10"/>
        <v>273.84000000000003</v>
      </c>
      <c r="G30" s="39">
        <f t="shared" si="11"/>
        <v>2443.2599999999998</v>
      </c>
      <c r="H30" s="226">
        <f t="shared" si="12"/>
        <v>0.1120797622848162</v>
      </c>
      <c r="I30" s="39"/>
      <c r="J30" s="39"/>
      <c r="K30" s="39"/>
      <c r="L30" s="158"/>
      <c r="O30" s="81">
        <v>0.96</v>
      </c>
      <c r="P30" s="81">
        <f t="shared" si="0"/>
        <v>89.087999999999994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88.16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87.231999999999999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86.304000000000002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85.376000000000005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84.447999999999993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83.52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874" priority="21">
      <formula>F47&gt;0</formula>
    </cfRule>
    <cfRule type="expression" dxfId="1873" priority="22">
      <formula>F47&lt;0</formula>
    </cfRule>
  </conditionalFormatting>
  <conditionalFormatting sqref="Q7">
    <cfRule type="expression" dxfId="1872" priority="19">
      <formula>Q7&gt;0</formula>
    </cfRule>
    <cfRule type="expression" dxfId="1871" priority="20">
      <formula>Q7&lt;0</formula>
    </cfRule>
  </conditionalFormatting>
  <conditionalFormatting sqref="Q8">
    <cfRule type="expression" dxfId="1870" priority="17">
      <formula>Q8&gt;0</formula>
    </cfRule>
    <cfRule type="expression" dxfId="1869" priority="18">
      <formula>Q8&lt;0</formula>
    </cfRule>
  </conditionalFormatting>
  <conditionalFormatting sqref="F25:F46">
    <cfRule type="expression" dxfId="1868" priority="15">
      <formula>F25&gt;0</formula>
    </cfRule>
    <cfRule type="expression" dxfId="1867" priority="16">
      <formula>F25&lt;0</formula>
    </cfRule>
  </conditionalFormatting>
  <conditionalFormatting sqref="H25:H46">
    <cfRule type="expression" dxfId="1866" priority="13">
      <formula>H25&gt;0</formula>
    </cfRule>
    <cfRule type="expression" dxfId="1865" priority="14">
      <formula>H25&lt;0</formula>
    </cfRule>
  </conditionalFormatting>
  <conditionalFormatting sqref="F89:F110">
    <cfRule type="expression" dxfId="1864" priority="11">
      <formula>F89&gt;0</formula>
    </cfRule>
    <cfRule type="expression" dxfId="1863" priority="12">
      <formula>F89&lt;0</formula>
    </cfRule>
  </conditionalFormatting>
  <conditionalFormatting sqref="H89:H110">
    <cfRule type="expression" dxfId="1862" priority="9">
      <formula>H89&gt;0</formula>
    </cfRule>
    <cfRule type="expression" dxfId="1861" priority="10">
      <formula>H89&lt;0</formula>
    </cfRule>
  </conditionalFormatting>
  <conditionalFormatting sqref="Q10">
    <cfRule type="expression" dxfId="1860" priority="7">
      <formula>Q10&gt;0</formula>
    </cfRule>
    <cfRule type="expression" dxfId="1859" priority="8">
      <formula>Q10&lt;0</formula>
    </cfRule>
  </conditionalFormatting>
  <conditionalFormatting sqref="J25:J38">
    <cfRule type="expression" dxfId="1858" priority="5">
      <formula>J25&gt;0</formula>
    </cfRule>
    <cfRule type="expression" dxfId="1857" priority="6">
      <formula>J25&lt;0</formula>
    </cfRule>
  </conditionalFormatting>
  <conditionalFormatting sqref="K25:K38">
    <cfRule type="expression" dxfId="1856" priority="3">
      <formula>K25&gt;0</formula>
    </cfRule>
    <cfRule type="expression" dxfId="1855" priority="4">
      <formula>K25&lt;0</formula>
    </cfRule>
  </conditionalFormatting>
  <conditionalFormatting sqref="L25:L38">
    <cfRule type="expression" dxfId="1854" priority="1">
      <formula>L25&gt;0</formula>
    </cfRule>
    <cfRule type="expression" dxfId="185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5" activePane="bottomLeft" state="frozen"/>
      <selection activeCell="A2" sqref="A2"/>
      <selection pane="bottomLeft" activeCell="J14" sqref="J14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718</v>
      </c>
      <c r="B2" s="44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4">
        <v>42963</v>
      </c>
      <c r="H2" s="7">
        <v>50</v>
      </c>
      <c r="I2" s="43">
        <v>92.48</v>
      </c>
      <c r="J2" s="43">
        <v>0.11</v>
      </c>
      <c r="K2" s="43">
        <f t="shared" ref="K2:K8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874</v>
      </c>
    </row>
    <row r="3" spans="1:21" x14ac:dyDescent="0.25">
      <c r="A3" s="22" t="s">
        <v>71</v>
      </c>
      <c r="B3" s="44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83.501000000000019</v>
      </c>
    </row>
    <row r="4" spans="1:21" x14ac:dyDescent="0.25">
      <c r="B4" s="44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114.25</v>
      </c>
      <c r="R4" s="508">
        <v>4.0500000000000001E-2</v>
      </c>
      <c r="T4" s="1">
        <v>42738</v>
      </c>
      <c r="U4" t="s">
        <v>873</v>
      </c>
    </row>
    <row r="5" spans="1:21" x14ac:dyDescent="0.25">
      <c r="B5" s="444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6855</v>
      </c>
      <c r="T5" s="1">
        <v>43105</v>
      </c>
      <c r="U5" t="s">
        <v>902</v>
      </c>
    </row>
    <row r="6" spans="1:21" x14ac:dyDescent="0.25">
      <c r="B6" s="72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5010.0600000000013</v>
      </c>
    </row>
    <row r="7" spans="1:21" x14ac:dyDescent="0.25">
      <c r="B7" s="44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1844.9399999999987</v>
      </c>
      <c r="R7">
        <v>35</v>
      </c>
      <c r="T7" s="1">
        <v>43112</v>
      </c>
      <c r="U7" t="s">
        <v>908</v>
      </c>
    </row>
    <row r="8" spans="1:21" x14ac:dyDescent="0.25">
      <c r="B8" s="72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4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1844.9399999999987</v>
      </c>
    </row>
    <row r="9" spans="1:21" x14ac:dyDescent="0.25">
      <c r="B9" s="44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0.36824708686123486</v>
      </c>
      <c r="T9" s="1">
        <v>43114</v>
      </c>
      <c r="U9" t="s">
        <v>930</v>
      </c>
    </row>
    <row r="10" spans="1:21" x14ac:dyDescent="0.25">
      <c r="B10" s="485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931</v>
      </c>
    </row>
    <row r="11" spans="1:21" x14ac:dyDescent="0.25">
      <c r="B11" s="485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C12" s="4"/>
      <c r="D12" s="3"/>
      <c r="E12" s="3"/>
      <c r="F12" s="3"/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11" t="s">
        <v>78</v>
      </c>
      <c r="P17" s="811"/>
    </row>
    <row r="18" spans="1:17" ht="15.75" thickTop="1" x14ac:dyDescent="0.25">
      <c r="A18" s="31" t="s">
        <v>81</v>
      </c>
      <c r="B18" s="14"/>
      <c r="C18" s="14">
        <f>SUM(C2:C12)</f>
        <v>275</v>
      </c>
      <c r="D18" s="18"/>
      <c r="E18" s="18"/>
      <c r="F18" s="18">
        <f>SUM(F2:F12)</f>
        <v>26716.100000000002</v>
      </c>
      <c r="G18" s="14"/>
      <c r="H18" s="71">
        <f>SUM(H2:H9)</f>
        <v>215</v>
      </c>
      <c r="I18" s="18"/>
      <c r="J18" s="18"/>
      <c r="K18" s="18">
        <f>SUM(K2:K9)</f>
        <v>21694.04</v>
      </c>
      <c r="L18" s="14"/>
      <c r="M18" s="18">
        <f>SUM(M2:M10)</f>
        <v>12</v>
      </c>
      <c r="O18" s="81">
        <v>1.1000000000000001</v>
      </c>
      <c r="P18" s="81">
        <f>O18*$Q$4</f>
        <v>125.67500000000001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215</v>
      </c>
      <c r="D19" s="349"/>
      <c r="E19" s="349"/>
      <c r="F19" s="350">
        <f>SumByColor($A$19,F2:F17)</f>
        <v>21036</v>
      </c>
      <c r="G19" s="349"/>
      <c r="H19" s="349">
        <f>SumByColor($A$19,H2:H17)</f>
        <v>215</v>
      </c>
      <c r="I19" s="349"/>
      <c r="J19" s="349"/>
      <c r="K19" s="350">
        <f>SumByColor($A$19,K2:K17)</f>
        <v>21693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124.53250000000001</v>
      </c>
      <c r="Q19" s="2"/>
    </row>
    <row r="20" spans="1:17" x14ac:dyDescent="0.25">
      <c r="O20" s="81">
        <v>1.08</v>
      </c>
      <c r="P20" s="81">
        <f t="shared" si="3"/>
        <v>123.39000000000001</v>
      </c>
      <c r="Q20" s="2"/>
    </row>
    <row r="21" spans="1:17" x14ac:dyDescent="0.25">
      <c r="O21" s="81">
        <v>1.07</v>
      </c>
      <c r="P21" s="81">
        <f t="shared" si="3"/>
        <v>122.2475</v>
      </c>
      <c r="Q21" s="2"/>
    </row>
    <row r="22" spans="1:17" x14ac:dyDescent="0.25">
      <c r="O22" s="81">
        <v>1.06</v>
      </c>
      <c r="P22" s="81">
        <f t="shared" si="3"/>
        <v>121.105</v>
      </c>
      <c r="Q22" s="2"/>
    </row>
    <row r="23" spans="1:17" x14ac:dyDescent="0.25">
      <c r="O23" s="81">
        <v>1.05</v>
      </c>
      <c r="P23" s="81">
        <f t="shared" si="3"/>
        <v>119.96250000000001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O24" s="81">
        <v>1.04</v>
      </c>
      <c r="P24" s="81">
        <f t="shared" si="3"/>
        <v>118.82000000000001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117.67750000000001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116.535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115.3925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114.25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113.1075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111.965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110.82249999999999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109.67999999999999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108.53749999999999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107.395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106.25250000000001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105.11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103.9675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102.825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6">
        <f t="shared" ref="H46:H52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907</v>
      </c>
      <c r="J47" s="39"/>
      <c r="K47" s="39"/>
      <c r="L47" s="39">
        <v>74.34</v>
      </c>
      <c r="M47" t="s">
        <v>929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A50">
        <v>50</v>
      </c>
      <c r="B50" s="188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6">
        <f t="shared" si="41"/>
        <v>0.27451669595782086</v>
      </c>
      <c r="I50" s="39"/>
      <c r="J50" s="39"/>
      <c r="K50" s="39"/>
      <c r="L50" s="39"/>
    </row>
    <row r="51" spans="1:12" x14ac:dyDescent="0.25">
      <c r="A51">
        <v>50</v>
      </c>
      <c r="B51" s="188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6">
        <f t="shared" si="41"/>
        <v>0.16722783389450063</v>
      </c>
      <c r="I51" s="39" t="s">
        <v>996</v>
      </c>
      <c r="J51" s="39"/>
      <c r="K51" s="39"/>
      <c r="L51" s="39"/>
    </row>
    <row r="52" spans="1:12" x14ac:dyDescent="0.25">
      <c r="A52">
        <v>35</v>
      </c>
      <c r="B52" s="188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6">
        <f t="shared" si="41"/>
        <v>0.3652694610778443</v>
      </c>
      <c r="I52" s="39"/>
      <c r="J52" s="39"/>
      <c r="K52" s="39"/>
      <c r="L52" s="39"/>
    </row>
    <row r="53" spans="1:12" x14ac:dyDescent="0.25">
      <c r="A53">
        <v>35</v>
      </c>
      <c r="B53" s="188">
        <v>43158</v>
      </c>
      <c r="C53" s="10">
        <v>60</v>
      </c>
      <c r="D53" s="39">
        <v>83.5</v>
      </c>
      <c r="E53" s="39">
        <v>109.8</v>
      </c>
      <c r="F53" s="39">
        <f t="shared" ref="F53" si="42">C53*(E53-D53)</f>
        <v>1577.9999999999998</v>
      </c>
      <c r="G53" s="39">
        <f t="shared" ref="G53" si="43">D53*C53</f>
        <v>5010</v>
      </c>
      <c r="H53" s="226">
        <f t="shared" ref="H53" si="44">(E53-D53)/D53</f>
        <v>0.31497005988023946</v>
      </c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188"/>
      <c r="C56" s="10"/>
      <c r="D56" s="39"/>
      <c r="E56" s="39"/>
      <c r="F56" s="39"/>
      <c r="G56" s="39"/>
      <c r="H56" s="226"/>
      <c r="I56" s="39"/>
      <c r="J56" s="39"/>
      <c r="K56" s="39"/>
      <c r="L56" s="39"/>
    </row>
    <row r="57" spans="1:12" x14ac:dyDescent="0.25">
      <c r="A57" s="4"/>
      <c r="B57" s="188"/>
      <c r="C57" s="10"/>
      <c r="D57" s="39"/>
      <c r="E57" s="39"/>
      <c r="F57" s="39"/>
      <c r="G57" s="39"/>
      <c r="H57" s="226"/>
      <c r="I57" s="39"/>
      <c r="J57" s="39"/>
      <c r="K57" s="39"/>
      <c r="L57" s="39"/>
    </row>
    <row r="58" spans="1:12" x14ac:dyDescent="0.25">
      <c r="A58" s="4"/>
      <c r="B58" s="188"/>
      <c r="C58" s="10"/>
      <c r="D58" s="39"/>
      <c r="E58" s="39"/>
      <c r="F58" s="39"/>
      <c r="G58" s="39"/>
      <c r="H58" s="226"/>
      <c r="I58" s="39"/>
      <c r="J58" s="39"/>
      <c r="K58" s="39"/>
      <c r="L58" s="39"/>
    </row>
    <row r="59" spans="1:12" x14ac:dyDescent="0.25">
      <c r="A59" s="4"/>
      <c r="B59" s="188"/>
      <c r="C59" s="10"/>
      <c r="D59" s="39"/>
      <c r="E59" s="39"/>
      <c r="F59" s="39"/>
      <c r="G59" s="39"/>
      <c r="H59" s="226"/>
      <c r="I59" s="39"/>
      <c r="J59" s="39"/>
      <c r="K59" s="39"/>
      <c r="L59" s="39"/>
    </row>
    <row r="60" spans="1:12" x14ac:dyDescent="0.25">
      <c r="A60" s="4"/>
      <c r="B60" s="188"/>
      <c r="C60" s="10"/>
      <c r="D60" s="39"/>
      <c r="E60" s="39"/>
      <c r="F60" s="39"/>
      <c r="G60" s="39"/>
      <c r="H60" s="226"/>
      <c r="I60" s="39"/>
      <c r="J60" s="39"/>
      <c r="K60" s="39"/>
      <c r="L60" s="39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</row>
    <row r="68" spans="1:13" x14ac:dyDescent="0.25">
      <c r="A68" s="526"/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</row>
    <row r="69" spans="1:13" x14ac:dyDescent="0.25">
      <c r="A69" s="528"/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</row>
    <row r="70" spans="1:1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1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1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1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1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1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1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1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1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1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1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1:F63 H61:H63">
    <cfRule type="expression" dxfId="1852" priority="23">
      <formula>F61&gt;0</formula>
    </cfRule>
    <cfRule type="expression" dxfId="1851" priority="24">
      <formula>F61&lt;0</formula>
    </cfRule>
  </conditionalFormatting>
  <conditionalFormatting sqref="Q7">
    <cfRule type="expression" dxfId="1850" priority="21">
      <formula>Q7&gt;0</formula>
    </cfRule>
    <cfRule type="expression" dxfId="1849" priority="22">
      <formula>Q7&lt;0</formula>
    </cfRule>
  </conditionalFormatting>
  <conditionalFormatting sqref="Q8">
    <cfRule type="expression" dxfId="1848" priority="19">
      <formula>Q8&gt;0</formula>
    </cfRule>
    <cfRule type="expression" dxfId="1847" priority="20">
      <formula>Q8&lt;0</formula>
    </cfRule>
  </conditionalFormatting>
  <conditionalFormatting sqref="F25:F60">
    <cfRule type="expression" dxfId="1846" priority="17">
      <formula>F25&gt;0</formula>
    </cfRule>
    <cfRule type="expression" dxfId="1845" priority="18">
      <formula>F25&lt;0</formula>
    </cfRule>
  </conditionalFormatting>
  <conditionalFormatting sqref="H25:H60">
    <cfRule type="expression" dxfId="1844" priority="15">
      <formula>H25&gt;0</formula>
    </cfRule>
    <cfRule type="expression" dxfId="1843" priority="16">
      <formula>H25&lt;0</formula>
    </cfRule>
  </conditionalFormatting>
  <conditionalFormatting sqref="F89:F110">
    <cfRule type="expression" dxfId="1842" priority="13">
      <formula>F89&gt;0</formula>
    </cfRule>
    <cfRule type="expression" dxfId="1841" priority="14">
      <formula>F89&lt;0</formula>
    </cfRule>
  </conditionalFormatting>
  <conditionalFormatting sqref="H89:H110">
    <cfRule type="expression" dxfId="1840" priority="11">
      <formula>H89&gt;0</formula>
    </cfRule>
    <cfRule type="expression" dxfId="1839" priority="12">
      <formula>H89&lt;0</formula>
    </cfRule>
  </conditionalFormatting>
  <conditionalFormatting sqref="Q10">
    <cfRule type="expression" dxfId="1838" priority="9">
      <formula>Q10&gt;0</formula>
    </cfRule>
    <cfRule type="expression" dxfId="1837" priority="10">
      <formula>Q10&lt;0</formula>
    </cfRule>
  </conditionalFormatting>
  <conditionalFormatting sqref="J25:J38">
    <cfRule type="expression" dxfId="1836" priority="7">
      <formula>J25&gt;0</formula>
    </cfRule>
    <cfRule type="expression" dxfId="1835" priority="8">
      <formula>J25&lt;0</formula>
    </cfRule>
  </conditionalFormatting>
  <conditionalFormatting sqref="K25:K38">
    <cfRule type="expression" dxfId="1834" priority="5">
      <formula>K25&gt;0</formula>
    </cfRule>
    <cfRule type="expression" dxfId="1833" priority="6">
      <formula>K25&lt;0</formula>
    </cfRule>
  </conditionalFormatting>
  <conditionalFormatting sqref="L25:L34">
    <cfRule type="expression" dxfId="1832" priority="3">
      <formula>L25&gt;0</formula>
    </cfRule>
    <cfRule type="expression" dxfId="1831" priority="4">
      <formula>L25&lt;0</formula>
    </cfRule>
  </conditionalFormatting>
  <conditionalFormatting sqref="J43">
    <cfRule type="expression" dxfId="1830" priority="1">
      <formula>J43&gt;0</formula>
    </cfRule>
    <cfRule type="expression" dxfId="1829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975</v>
      </c>
      <c r="B2" s="485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36.299999999999997</v>
      </c>
      <c r="R4" s="508">
        <v>-1.55E-2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3629.9999999999995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-28.000000000000455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-28.000000000000455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-7.6544559868781999E-3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39.93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39.567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39.204000000000001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38.841000000000001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38.478000000000002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38.115000000000002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37.751999999999995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37.388999999999996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37.025999999999996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36.662999999999997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36.299999999999997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35.936999999999998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35.573999999999998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35.210999999999999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34.847999999999999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34.484999999999992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34.121999999999993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33.759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33.396000000000001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33.033000000000001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32.67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975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28" priority="31">
      <formula>F47&gt;0</formula>
    </cfRule>
    <cfRule type="expression" dxfId="1827" priority="32">
      <formula>F47&lt;0</formula>
    </cfRule>
  </conditionalFormatting>
  <conditionalFormatting sqref="Q7">
    <cfRule type="expression" dxfId="1826" priority="29">
      <formula>Q7&gt;0</formula>
    </cfRule>
    <cfRule type="expression" dxfId="1825" priority="30">
      <formula>Q7&lt;0</formula>
    </cfRule>
  </conditionalFormatting>
  <conditionalFormatting sqref="Q8">
    <cfRule type="expression" dxfId="1824" priority="27">
      <formula>Q8&gt;0</formula>
    </cfRule>
    <cfRule type="expression" dxfId="1823" priority="28">
      <formula>Q8&lt;0</formula>
    </cfRule>
  </conditionalFormatting>
  <conditionalFormatting sqref="F30:F46">
    <cfRule type="expression" dxfId="1822" priority="25">
      <formula>F30&gt;0</formula>
    </cfRule>
    <cfRule type="expression" dxfId="1821" priority="26">
      <formula>F30&lt;0</formula>
    </cfRule>
  </conditionalFormatting>
  <conditionalFormatting sqref="H30:H46">
    <cfRule type="expression" dxfId="1820" priority="23">
      <formula>H30&gt;0</formula>
    </cfRule>
    <cfRule type="expression" dxfId="1819" priority="24">
      <formula>H30&lt;0</formula>
    </cfRule>
  </conditionalFormatting>
  <conditionalFormatting sqref="Q10">
    <cfRule type="expression" dxfId="1818" priority="21">
      <formula>Q10&gt;0</formula>
    </cfRule>
    <cfRule type="expression" dxfId="1817" priority="22">
      <formula>Q10&lt;0</formula>
    </cfRule>
  </conditionalFormatting>
  <conditionalFormatting sqref="J25:J38">
    <cfRule type="expression" dxfId="1816" priority="19">
      <formula>J25&gt;0</formula>
    </cfRule>
    <cfRule type="expression" dxfId="1815" priority="20">
      <formula>J25&lt;0</formula>
    </cfRule>
  </conditionalFormatting>
  <conditionalFormatting sqref="K25:K38">
    <cfRule type="expression" dxfId="1814" priority="17">
      <formula>K25&gt;0</formula>
    </cfRule>
    <cfRule type="expression" dxfId="1813" priority="18">
      <formula>K25&lt;0</formula>
    </cfRule>
  </conditionalFormatting>
  <conditionalFormatting sqref="L25:L38">
    <cfRule type="expression" dxfId="1812" priority="15">
      <formula>L25&gt;0</formula>
    </cfRule>
    <cfRule type="expression" dxfId="1811" priority="16">
      <formula>L25&lt;0</formula>
    </cfRule>
  </conditionalFormatting>
  <conditionalFormatting sqref="F89:F110">
    <cfRule type="expression" dxfId="1810" priority="13">
      <formula>F89&gt;0</formula>
    </cfRule>
    <cfRule type="expression" dxfId="1809" priority="14">
      <formula>F89&lt;0</formula>
    </cfRule>
  </conditionalFormatting>
  <conditionalFormatting sqref="H89:H110">
    <cfRule type="expression" dxfId="1808" priority="11">
      <formula>H89&gt;0</formula>
    </cfRule>
    <cfRule type="expression" dxfId="1807" priority="12">
      <formula>H89&lt;0</formula>
    </cfRule>
  </conditionalFormatting>
  <conditionalFormatting sqref="J89:J102">
    <cfRule type="expression" dxfId="1806" priority="9">
      <formula>J89&gt;0</formula>
    </cfRule>
    <cfRule type="expression" dxfId="1805" priority="10">
      <formula>J89&lt;0</formula>
    </cfRule>
  </conditionalFormatting>
  <conditionalFormatting sqref="K89:K102">
    <cfRule type="expression" dxfId="1804" priority="7">
      <formula>K89&gt;0</formula>
    </cfRule>
    <cfRule type="expression" dxfId="1803" priority="8">
      <formula>K89&lt;0</formula>
    </cfRule>
  </conditionalFormatting>
  <conditionalFormatting sqref="L89:L102">
    <cfRule type="expression" dxfId="1802" priority="5">
      <formula>L89&gt;0</formula>
    </cfRule>
    <cfRule type="expression" dxfId="1801" priority="6">
      <formula>L89&lt;0</formula>
    </cfRule>
  </conditionalFormatting>
  <conditionalFormatting sqref="F25:F29">
    <cfRule type="expression" dxfId="1800" priority="3">
      <formula>F25&gt;0</formula>
    </cfRule>
    <cfRule type="expression" dxfId="1799" priority="4">
      <formula>F25&lt;0</formula>
    </cfRule>
  </conditionalFormatting>
  <conditionalFormatting sqref="H25:H29">
    <cfRule type="expression" dxfId="1798" priority="1">
      <formula>H25&gt;0</formula>
    </cfRule>
    <cfRule type="expression" dxfId="1797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720</v>
      </c>
      <c r="B2" s="44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190.9</v>
      </c>
      <c r="R4" s="508">
        <v>4.1999999999999997E-3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3818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979.92000000000053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836.89000000000033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0.28073100288147718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2.6191723415400735E-3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3" t="s">
        <v>113</v>
      </c>
      <c r="P16" s="693" t="s">
        <v>728</v>
      </c>
      <c r="Q16" s="693" t="s">
        <v>729</v>
      </c>
      <c r="R16" s="691" t="s">
        <v>722</v>
      </c>
      <c r="S16" s="691" t="s">
        <v>723</v>
      </c>
      <c r="T16" s="693" t="s">
        <v>725</v>
      </c>
      <c r="U16" s="693" t="s">
        <v>726</v>
      </c>
      <c r="V16" s="691" t="s">
        <v>724</v>
      </c>
      <c r="W16" s="692" t="s">
        <v>727</v>
      </c>
    </row>
    <row r="17" spans="1:23" x14ac:dyDescent="0.25">
      <c r="O17" s="694">
        <v>43013</v>
      </c>
      <c r="P17" s="690" t="s">
        <v>797</v>
      </c>
      <c r="Q17" s="690" t="s">
        <v>798</v>
      </c>
      <c r="R17" s="689">
        <v>2.02</v>
      </c>
      <c r="S17" s="687">
        <v>2.08</v>
      </c>
      <c r="T17" s="690">
        <v>41.55</v>
      </c>
      <c r="U17" s="690">
        <v>42.3</v>
      </c>
      <c r="V17" s="687"/>
      <c r="W17" s="688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4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5"/>
      <c r="P27" s="690"/>
      <c r="Q27" s="690"/>
      <c r="R27" s="687"/>
      <c r="S27" s="687"/>
      <c r="T27" s="690"/>
      <c r="U27" s="690"/>
      <c r="V27" s="687"/>
      <c r="W27" s="688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>
        <v>43151</v>
      </c>
      <c r="C35" s="10">
        <v>20</v>
      </c>
      <c r="D35" s="39">
        <v>149.06</v>
      </c>
      <c r="E35" s="39">
        <v>188.12</v>
      </c>
      <c r="F35" s="39">
        <f t="shared" ref="F35" si="15">C35*(E35-D35)</f>
        <v>781.2</v>
      </c>
      <c r="G35" s="39">
        <f t="shared" ref="G35" si="16">D35*C35</f>
        <v>2981.2</v>
      </c>
      <c r="H35" s="226">
        <f t="shared" ref="H35" si="17">(E35-D35)/D35</f>
        <v>0.26204213068562998</v>
      </c>
      <c r="I35" s="39"/>
      <c r="J35" s="39">
        <v>924</v>
      </c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209.99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8">O42*$Q$4</f>
        <v>208.08100000000002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8"/>
        <v>206.17200000000003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8"/>
        <v>204.26300000000001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202.35400000000001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200.44500000000002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198.536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196.62700000000001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194.71800000000002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192.809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190.9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188.99100000000001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187.08199999999999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185.173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183.26400000000001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181.35499999999999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179.446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177.53700000000001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175.62800000000001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173.71900000000002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171.81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31" x14ac:dyDescent="0.25">
      <c r="A68" s="526"/>
      <c r="B68" s="44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8"/>
      <c r="B69" s="485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20</v>
      </c>
      <c r="D84" s="531"/>
      <c r="E84" s="531"/>
      <c r="F84" s="531">
        <f>SUM(F68:F72)</f>
        <v>3020</v>
      </c>
      <c r="G84" s="530"/>
      <c r="H84" s="552">
        <f>SUM(H68:H71)</f>
        <v>20</v>
      </c>
      <c r="I84" s="531"/>
      <c r="J84" s="531"/>
      <c r="K84" s="531">
        <f>SUM(K68:K71)</f>
        <v>3151.53</v>
      </c>
      <c r="L84" s="530"/>
      <c r="M84" s="531">
        <f>SUM(M68:M76)</f>
        <v>11.5</v>
      </c>
    </row>
    <row r="85" spans="1:13" ht="15.75" thickBot="1" x14ac:dyDescent="0.3">
      <c r="A85" s="532" t="s">
        <v>194</v>
      </c>
      <c r="B85" s="533"/>
      <c r="C85" s="534">
        <f>SumByColor($A$19,C68:C83)</f>
        <v>20</v>
      </c>
      <c r="D85" s="534"/>
      <c r="E85" s="534"/>
      <c r="F85" s="535">
        <f>SumByColor($A$19,F68:F83)</f>
        <v>3020</v>
      </c>
      <c r="G85" s="534"/>
      <c r="H85" s="534">
        <f>SumByColor($A$19,H68:H83)</f>
        <v>20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675" t="s">
        <v>113</v>
      </c>
      <c r="C88" s="675" t="s">
        <v>146</v>
      </c>
      <c r="D88" s="676" t="s">
        <v>145</v>
      </c>
      <c r="E88" s="677" t="s">
        <v>147</v>
      </c>
      <c r="F88" s="677" t="s">
        <v>65</v>
      </c>
      <c r="G88" s="678" t="s">
        <v>151</v>
      </c>
      <c r="H88" s="678" t="s">
        <v>88</v>
      </c>
      <c r="I88" s="678" t="s">
        <v>154</v>
      </c>
    </row>
    <row r="89" spans="1:13" x14ac:dyDescent="0.25">
      <c r="B89" s="580"/>
      <c r="C89" s="577"/>
      <c r="D89" s="578"/>
      <c r="E89" s="578"/>
      <c r="F89" s="578"/>
      <c r="G89" s="578"/>
      <c r="H89" s="679"/>
      <c r="I89" s="578"/>
    </row>
    <row r="90" spans="1:13" x14ac:dyDescent="0.25">
      <c r="B90" s="580"/>
      <c r="C90" s="577"/>
      <c r="D90" s="578"/>
      <c r="E90" s="578"/>
      <c r="F90" s="578"/>
      <c r="G90" s="578"/>
      <c r="H90" s="679"/>
      <c r="I90" s="578"/>
    </row>
    <row r="91" spans="1:13" x14ac:dyDescent="0.25">
      <c r="B91" s="580"/>
      <c r="C91" s="577"/>
      <c r="D91" s="578"/>
      <c r="E91" s="578"/>
      <c r="F91" s="578"/>
      <c r="G91" s="578"/>
      <c r="H91" s="679"/>
      <c r="I91" s="578"/>
    </row>
    <row r="92" spans="1:13" x14ac:dyDescent="0.25">
      <c r="B92" s="580"/>
      <c r="C92" s="577"/>
      <c r="D92" s="578"/>
      <c r="E92" s="578"/>
      <c r="F92" s="578"/>
      <c r="G92" s="578"/>
      <c r="H92" s="679"/>
      <c r="I92" s="578"/>
    </row>
    <row r="93" spans="1:13" x14ac:dyDescent="0.25">
      <c r="B93" s="580"/>
      <c r="C93" s="577"/>
      <c r="D93" s="578"/>
      <c r="E93" s="578"/>
      <c r="F93" s="578"/>
      <c r="G93" s="578"/>
      <c r="H93" s="679"/>
      <c r="I93" s="578"/>
    </row>
    <row r="94" spans="1:13" x14ac:dyDescent="0.25">
      <c r="B94" s="580"/>
      <c r="C94" s="577"/>
      <c r="D94" s="578"/>
      <c r="E94" s="578"/>
      <c r="F94" s="578"/>
      <c r="G94" s="578"/>
      <c r="H94" s="679"/>
      <c r="I94" s="578"/>
    </row>
    <row r="95" spans="1:13" x14ac:dyDescent="0.25">
      <c r="B95" s="580"/>
      <c r="C95" s="577"/>
      <c r="D95" s="578"/>
      <c r="E95" s="578"/>
      <c r="F95" s="578"/>
      <c r="G95" s="578"/>
      <c r="H95" s="679"/>
      <c r="I95" s="578"/>
    </row>
    <row r="96" spans="1:13" x14ac:dyDescent="0.25">
      <c r="B96" s="580"/>
      <c r="C96" s="577"/>
      <c r="D96" s="578"/>
      <c r="E96" s="578"/>
      <c r="F96" s="578"/>
      <c r="G96" s="578"/>
      <c r="H96" s="679"/>
      <c r="I96" s="578"/>
    </row>
    <row r="97" spans="2:9" x14ac:dyDescent="0.25">
      <c r="B97" s="580"/>
      <c r="C97" s="577"/>
      <c r="D97" s="578"/>
      <c r="E97" s="578"/>
      <c r="F97" s="578"/>
      <c r="G97" s="578"/>
      <c r="H97" s="679"/>
      <c r="I97" s="578"/>
    </row>
    <row r="98" spans="2:9" x14ac:dyDescent="0.25">
      <c r="B98" s="580"/>
      <c r="C98" s="577"/>
      <c r="D98" s="578"/>
      <c r="E98" s="578"/>
      <c r="F98" s="578"/>
      <c r="G98" s="578"/>
      <c r="H98" s="679"/>
      <c r="I98" s="578"/>
    </row>
    <row r="99" spans="2:9" x14ac:dyDescent="0.25">
      <c r="B99" s="580"/>
      <c r="C99" s="577"/>
      <c r="D99" s="578"/>
      <c r="E99" s="578"/>
      <c r="F99" s="578"/>
      <c r="G99" s="578"/>
      <c r="H99" s="679"/>
      <c r="I99" s="578"/>
    </row>
    <row r="100" spans="2:9" x14ac:dyDescent="0.25">
      <c r="B100" s="580"/>
      <c r="C100" s="577"/>
      <c r="D100" s="578"/>
      <c r="E100" s="578"/>
      <c r="F100" s="578"/>
      <c r="G100" s="578"/>
      <c r="H100" s="679"/>
      <c r="I100" s="578"/>
    </row>
    <row r="101" spans="2:9" x14ac:dyDescent="0.25">
      <c r="B101" s="580"/>
      <c r="C101" s="577"/>
      <c r="D101" s="578"/>
      <c r="E101" s="578"/>
      <c r="F101" s="578"/>
      <c r="G101" s="578"/>
      <c r="H101" s="679"/>
      <c r="I101" s="578"/>
    </row>
    <row r="102" spans="2:9" x14ac:dyDescent="0.25">
      <c r="B102" s="580"/>
      <c r="C102" s="577"/>
      <c r="D102" s="578"/>
      <c r="E102" s="578"/>
      <c r="F102" s="578"/>
      <c r="G102" s="578"/>
      <c r="H102" s="679"/>
      <c r="I102" s="578"/>
    </row>
    <row r="103" spans="2:9" x14ac:dyDescent="0.25">
      <c r="B103" s="580"/>
      <c r="C103" s="577"/>
      <c r="D103" s="578"/>
      <c r="E103" s="578"/>
      <c r="F103" s="578"/>
      <c r="G103" s="578"/>
      <c r="H103" s="679"/>
      <c r="I103" s="578"/>
    </row>
    <row r="104" spans="2:9" x14ac:dyDescent="0.25">
      <c r="B104" s="580"/>
      <c r="C104" s="577"/>
      <c r="D104" s="578"/>
      <c r="E104" s="578"/>
      <c r="F104" s="578"/>
      <c r="G104" s="578"/>
      <c r="H104" s="679"/>
      <c r="I104" s="578"/>
    </row>
    <row r="105" spans="2:9" x14ac:dyDescent="0.25">
      <c r="B105" s="580"/>
      <c r="C105" s="577"/>
      <c r="D105" s="578"/>
      <c r="E105" s="578"/>
      <c r="F105" s="578"/>
      <c r="G105" s="578"/>
      <c r="H105" s="679"/>
      <c r="I105" s="578"/>
    </row>
    <row r="106" spans="2:9" x14ac:dyDescent="0.25">
      <c r="B106" s="580"/>
      <c r="C106" s="577"/>
      <c r="D106" s="578"/>
      <c r="E106" s="578"/>
      <c r="F106" s="578"/>
      <c r="G106" s="578"/>
      <c r="H106" s="679"/>
      <c r="I106" s="578"/>
    </row>
    <row r="107" spans="2:9" x14ac:dyDescent="0.25">
      <c r="B107" s="580"/>
      <c r="C107" s="577"/>
      <c r="D107" s="578"/>
      <c r="E107" s="578"/>
      <c r="F107" s="578"/>
      <c r="G107" s="578"/>
      <c r="H107" s="679"/>
      <c r="I107" s="578"/>
    </row>
    <row r="108" spans="2:9" x14ac:dyDescent="0.25">
      <c r="B108" s="580"/>
      <c r="C108" s="577"/>
      <c r="D108" s="578"/>
      <c r="E108" s="578"/>
      <c r="F108" s="578"/>
      <c r="G108" s="578"/>
      <c r="H108" s="679"/>
      <c r="I108" s="578"/>
    </row>
    <row r="109" spans="2:9" x14ac:dyDescent="0.25">
      <c r="B109" s="580"/>
      <c r="C109" s="577"/>
      <c r="D109" s="578"/>
      <c r="E109" s="578"/>
      <c r="F109" s="578"/>
      <c r="G109" s="578"/>
      <c r="H109" s="679"/>
      <c r="I109" s="578"/>
    </row>
    <row r="110" spans="2:9" x14ac:dyDescent="0.25">
      <c r="B110" s="580"/>
      <c r="C110" s="577"/>
      <c r="D110" s="578"/>
      <c r="E110" s="578"/>
      <c r="F110" s="578"/>
      <c r="G110" s="578"/>
      <c r="H110" s="679"/>
      <c r="I110" s="578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96" priority="22">
      <formula>F47&gt;0</formula>
    </cfRule>
    <cfRule type="expression" dxfId="1795" priority="23">
      <formula>F47&lt;0</formula>
    </cfRule>
  </conditionalFormatting>
  <conditionalFormatting sqref="Q7">
    <cfRule type="expression" dxfId="1794" priority="20">
      <formula>Q7&gt;0</formula>
    </cfRule>
    <cfRule type="expression" dxfId="1793" priority="21">
      <formula>Q7&lt;0</formula>
    </cfRule>
  </conditionalFormatting>
  <conditionalFormatting sqref="Q8">
    <cfRule type="expression" dxfId="1792" priority="18">
      <formula>Q8&gt;0</formula>
    </cfRule>
    <cfRule type="expression" dxfId="1791" priority="19">
      <formula>Q8&lt;0</formula>
    </cfRule>
  </conditionalFormatting>
  <conditionalFormatting sqref="F25:F46">
    <cfRule type="expression" dxfId="1790" priority="16">
      <formula>F25&gt;0</formula>
    </cfRule>
    <cfRule type="expression" dxfId="1789" priority="17">
      <formula>F25&lt;0</formula>
    </cfRule>
  </conditionalFormatting>
  <conditionalFormatting sqref="H25:H46">
    <cfRule type="expression" dxfId="1788" priority="14">
      <formula>H25&gt;0</formula>
    </cfRule>
    <cfRule type="expression" dxfId="1787" priority="15">
      <formula>H25&lt;0</formula>
    </cfRule>
  </conditionalFormatting>
  <conditionalFormatting sqref="F89:F110">
    <cfRule type="expression" dxfId="1786" priority="12">
      <formula>F89&gt;0</formula>
    </cfRule>
    <cfRule type="expression" dxfId="1785" priority="13">
      <formula>F89&lt;0</formula>
    </cfRule>
  </conditionalFormatting>
  <conditionalFormatting sqref="H89:H110">
    <cfRule type="expression" dxfId="1784" priority="10">
      <formula>H89&gt;0</formula>
    </cfRule>
    <cfRule type="expression" dxfId="1783" priority="11">
      <formula>H89&lt;0</formula>
    </cfRule>
  </conditionalFormatting>
  <conditionalFormatting sqref="Q10">
    <cfRule type="expression" dxfId="1782" priority="8">
      <formula>Q10&gt;0</formula>
    </cfRule>
    <cfRule type="expression" dxfId="1781" priority="9">
      <formula>Q10&lt;0</formula>
    </cfRule>
  </conditionalFormatting>
  <conditionalFormatting sqref="J25:J38">
    <cfRule type="expression" dxfId="1780" priority="6">
      <formula>J25&gt;0</formula>
    </cfRule>
    <cfRule type="expression" dxfId="1779" priority="7">
      <formula>J25&lt;0</formula>
    </cfRule>
  </conditionalFormatting>
  <conditionalFormatting sqref="K25:K38">
    <cfRule type="expression" dxfId="1778" priority="4">
      <formula>K25&gt;0</formula>
    </cfRule>
    <cfRule type="expression" dxfId="1777" priority="5">
      <formula>K25&lt;0</formula>
    </cfRule>
  </conditionalFormatting>
  <conditionalFormatting sqref="L25:L38">
    <cfRule type="expression" dxfId="1776" priority="2">
      <formula>L25&gt;0</formula>
    </cfRule>
    <cfRule type="expression" dxfId="1775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7">
        <f>IF(Q2=0, Q4, (F118-K118)/Q2)</f>
        <v>15.22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15.22</v>
      </c>
      <c r="R4" s="486">
        <v>0</v>
      </c>
      <c r="T4" s="1" t="s">
        <v>470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4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4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4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4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3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4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3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4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3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3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3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3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4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4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4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4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3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3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3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3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3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3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3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3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3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3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3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3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3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3" t="s">
        <v>78</v>
      </c>
      <c r="P42" s="363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3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16.742000000000001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3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16.5898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3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16.437600000000003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3">
        <v>42361</v>
      </c>
      <c r="H46" s="80"/>
      <c r="I46" s="77"/>
      <c r="J46" s="43"/>
      <c r="K46" s="43"/>
      <c r="O46" s="81">
        <v>1.07</v>
      </c>
      <c r="P46" s="81">
        <f t="shared" si="7"/>
        <v>16.285400000000003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13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3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16.133200000000002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13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15.981000000000002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15.828800000000001</v>
      </c>
      <c r="Q49" s="2"/>
      <c r="T49" s="106" t="s">
        <v>103</v>
      </c>
      <c r="U49" s="104" t="s">
        <v>623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15.676600000000001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15.524400000000002</v>
      </c>
      <c r="Q51" s="2"/>
      <c r="T51" s="106" t="s">
        <v>104</v>
      </c>
      <c r="U51" s="104" t="s">
        <v>624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15.372200000000001</v>
      </c>
      <c r="Q52" s="2"/>
      <c r="T52" s="106" t="s">
        <v>105</v>
      </c>
      <c r="U52" s="104" t="s">
        <v>523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15.22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15.0678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14.9156</v>
      </c>
      <c r="T55" s="106" t="s">
        <v>107</v>
      </c>
      <c r="U55" s="104" t="s">
        <v>625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14.763400000000001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14.6112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14.459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3"/>
      <c r="H59" s="7"/>
      <c r="I59" s="77"/>
      <c r="J59" s="43"/>
      <c r="K59" s="43"/>
      <c r="O59" s="81">
        <v>0.94</v>
      </c>
      <c r="P59" s="81">
        <f t="shared" si="7"/>
        <v>14.306799999999999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14.154600000000002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14.002400000000002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13.850200000000001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13.698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5"/>
      <c r="B65" s="44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5"/>
      <c r="B66" s="44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5"/>
      <c r="B67" s="44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4"/>
      <c r="B68" s="44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4"/>
      <c r="B69" s="44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4"/>
      <c r="B70" s="44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4"/>
      <c r="B71" s="44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4"/>
      <c r="B72" s="44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4"/>
      <c r="B73" s="44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510</v>
      </c>
    </row>
    <row r="74" spans="1:41" x14ac:dyDescent="0.25">
      <c r="B74" s="44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511</v>
      </c>
    </row>
    <row r="75" spans="1:41" x14ac:dyDescent="0.25">
      <c r="B75" s="44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5"/>
    </row>
    <row r="86" spans="2:21" ht="15" customHeight="1" x14ac:dyDescent="0.25">
      <c r="B86" s="44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5"/>
      <c r="Q86" s="1"/>
      <c r="R86" s="2"/>
    </row>
    <row r="87" spans="2:21" x14ac:dyDescent="0.25">
      <c r="B87" s="44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6"/>
    </row>
    <row r="88" spans="2:21" x14ac:dyDescent="0.25">
      <c r="B88" s="44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4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6"/>
    </row>
    <row r="89" spans="2:21" ht="15" customHeight="1" x14ac:dyDescent="0.25">
      <c r="B89" s="44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4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5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14"/>
      <c r="B98" s="44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14"/>
      <c r="B99" s="44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4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5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29">
        <v>1500</v>
      </c>
      <c r="D151" s="572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5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5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0">
        <v>3000</v>
      </c>
      <c r="D177" s="484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280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0">
        <v>3000</v>
      </c>
      <c r="D195" s="484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301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299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300</v>
      </c>
      <c r="J217" s="39"/>
      <c r="K217" s="39"/>
    </row>
    <row r="218" spans="2:11" x14ac:dyDescent="0.25">
      <c r="B218" s="188">
        <v>42664</v>
      </c>
      <c r="C218" s="430">
        <v>3000</v>
      </c>
      <c r="D218" s="484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302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308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0">
        <v>3000</v>
      </c>
      <c r="D231" s="484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0">
        <v>3000</v>
      </c>
      <c r="D233" s="484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5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1" t="s">
        <v>330</v>
      </c>
      <c r="J235" s="39"/>
      <c r="K235" s="39"/>
    </row>
    <row r="236" spans="1:11" x14ac:dyDescent="0.25">
      <c r="A236" t="s">
        <v>342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368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368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386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390</v>
      </c>
      <c r="B240" s="188">
        <v>42766</v>
      </c>
      <c r="C240" s="415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406</v>
      </c>
      <c r="B241" s="188">
        <v>42769</v>
      </c>
      <c r="C241" s="415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1">
        <v>24.5</v>
      </c>
      <c r="J241" s="39"/>
      <c r="K241" s="39"/>
    </row>
    <row r="242" spans="1:11" x14ac:dyDescent="0.25">
      <c r="A242" t="s">
        <v>413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416</v>
      </c>
      <c r="B243" s="188">
        <v>42773</v>
      </c>
      <c r="C243" s="430">
        <v>3000</v>
      </c>
      <c r="D243" s="484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421</v>
      </c>
      <c r="B244" s="188">
        <v>42774</v>
      </c>
      <c r="C244" s="415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1">
        <v>24.5</v>
      </c>
      <c r="J244" s="39"/>
      <c r="K244" s="39"/>
    </row>
    <row r="245" spans="1:11" x14ac:dyDescent="0.25">
      <c r="A245" t="s">
        <v>422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423</v>
      </c>
      <c r="B246" s="188">
        <v>42775</v>
      </c>
      <c r="C246" s="430">
        <v>3000</v>
      </c>
      <c r="D246" s="484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4">
        <v>20</v>
      </c>
      <c r="J246" s="39"/>
      <c r="K246" s="39"/>
    </row>
    <row r="247" spans="1:11" x14ac:dyDescent="0.25">
      <c r="A247" t="s">
        <v>428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428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428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5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29">
        <v>1500</v>
      </c>
      <c r="D265" s="572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63" priority="74">
      <formula>F12&gt;0</formula>
    </cfRule>
    <cfRule type="expression" dxfId="1762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61" priority="67">
      <formula>F124&gt;0</formula>
    </cfRule>
    <cfRule type="expression" dxfId="1760" priority="68">
      <formula>F124&lt;0</formula>
    </cfRule>
  </conditionalFormatting>
  <conditionalFormatting sqref="H124:H130">
    <cfRule type="expression" dxfId="1759" priority="55">
      <formula>H124&gt;0</formula>
    </cfRule>
    <cfRule type="expression" dxfId="1758" priority="56">
      <formula>H124&lt;0</formula>
    </cfRule>
  </conditionalFormatting>
  <conditionalFormatting sqref="H131">
    <cfRule type="expression" dxfId="1757" priority="53">
      <formula>H131&gt;0</formula>
    </cfRule>
    <cfRule type="expression" dxfId="1756" priority="54">
      <formula>H131&lt;0</formula>
    </cfRule>
  </conditionalFormatting>
  <conditionalFormatting sqref="H132">
    <cfRule type="expression" dxfId="1755" priority="51">
      <formula>H132&gt;0</formula>
    </cfRule>
    <cfRule type="expression" dxfId="1754" priority="52">
      <formula>H132&lt;0</formula>
    </cfRule>
  </conditionalFormatting>
  <conditionalFormatting sqref="H133:H135">
    <cfRule type="expression" dxfId="1753" priority="49">
      <formula>H133&gt;0</formula>
    </cfRule>
    <cfRule type="expression" dxfId="1752" priority="50">
      <formula>H133&lt;0</formula>
    </cfRule>
  </conditionalFormatting>
  <conditionalFormatting sqref="H136">
    <cfRule type="expression" dxfId="1751" priority="45">
      <formula>H136&gt;0</formula>
    </cfRule>
    <cfRule type="expression" dxfId="1750" priority="46">
      <formula>H136&lt;0</formula>
    </cfRule>
  </conditionalFormatting>
  <conditionalFormatting sqref="Q7">
    <cfRule type="expression" dxfId="1749" priority="39">
      <formula>Q7&gt;0</formula>
    </cfRule>
    <cfRule type="expression" dxfId="1748" priority="40">
      <formula>Q7&lt;0</formula>
    </cfRule>
  </conditionalFormatting>
  <conditionalFormatting sqref="Q8">
    <cfRule type="expression" dxfId="1747" priority="37">
      <formula>Q8&gt;0</formula>
    </cfRule>
    <cfRule type="expression" dxfId="1746" priority="38">
      <formula>Q8&lt;0</formula>
    </cfRule>
  </conditionalFormatting>
  <conditionalFormatting sqref="F167:F178 H167:H178">
    <cfRule type="expression" dxfId="1745" priority="35">
      <formula>F167&gt;0</formula>
    </cfRule>
    <cfRule type="expression" dxfId="1744" priority="36">
      <formula>F167&lt;0</formula>
    </cfRule>
  </conditionalFormatting>
  <conditionalFormatting sqref="F183:F197 H183:H197">
    <cfRule type="expression" dxfId="1743" priority="33">
      <formula>F183&gt;0</formula>
    </cfRule>
    <cfRule type="expression" dxfId="1742" priority="34">
      <formula>F183&lt;0</formula>
    </cfRule>
  </conditionalFormatting>
  <conditionalFormatting sqref="F198:F206 H198:H206">
    <cfRule type="expression" dxfId="1741" priority="31">
      <formula>F198&gt;0</formula>
    </cfRule>
    <cfRule type="expression" dxfId="1740" priority="32">
      <formula>F198&lt;0</formula>
    </cfRule>
  </conditionalFormatting>
  <conditionalFormatting sqref="F141:F147 H141:H147">
    <cfRule type="expression" dxfId="1739" priority="29">
      <formula>F141&gt;0</formula>
    </cfRule>
    <cfRule type="expression" dxfId="1738" priority="30">
      <formula>F141&lt;0</formula>
    </cfRule>
  </conditionalFormatting>
  <conditionalFormatting sqref="H149:H152 F149:F152">
    <cfRule type="expression" dxfId="1737" priority="27">
      <formula>F149&gt;0</formula>
    </cfRule>
    <cfRule type="expression" dxfId="1736" priority="28">
      <formula>F149&lt;0</formula>
    </cfRule>
  </conditionalFormatting>
  <conditionalFormatting sqref="F226 H215:H218 H257:H260 F257:F260 H226 H231:H233 F231:F233 F235:F244 H235:H244">
    <cfRule type="expression" dxfId="1735" priority="25">
      <formula>F215&gt;0</formula>
    </cfRule>
    <cfRule type="expression" dxfId="1734" priority="26">
      <formula>F215&lt;0</formula>
    </cfRule>
  </conditionalFormatting>
  <conditionalFormatting sqref="F207:F218">
    <cfRule type="expression" dxfId="1733" priority="23">
      <formula>F207&gt;0</formula>
    </cfRule>
    <cfRule type="expression" dxfId="1732" priority="24">
      <formula>F207&lt;0</formula>
    </cfRule>
  </conditionalFormatting>
  <conditionalFormatting sqref="H207:H208">
    <cfRule type="expression" dxfId="1731" priority="21">
      <formula>H207&gt;0</formula>
    </cfRule>
    <cfRule type="expression" dxfId="1730" priority="22">
      <formula>H207&lt;0</formula>
    </cfRule>
  </conditionalFormatting>
  <conditionalFormatting sqref="H209">
    <cfRule type="expression" dxfId="1729" priority="19">
      <formula>H209&gt;0</formula>
    </cfRule>
    <cfRule type="expression" dxfId="1728" priority="20">
      <formula>H209&lt;0</formula>
    </cfRule>
  </conditionalFormatting>
  <conditionalFormatting sqref="H210">
    <cfRule type="expression" dxfId="1727" priority="17">
      <formula>H210&gt;0</formula>
    </cfRule>
    <cfRule type="expression" dxfId="1726" priority="18">
      <formula>H210&lt;0</formula>
    </cfRule>
  </conditionalFormatting>
  <conditionalFormatting sqref="H211:H213">
    <cfRule type="expression" dxfId="1725" priority="15">
      <formula>H211&gt;0</formula>
    </cfRule>
    <cfRule type="expression" dxfId="1724" priority="16">
      <formula>H211&lt;0</formula>
    </cfRule>
  </conditionalFormatting>
  <conditionalFormatting sqref="H214">
    <cfRule type="expression" dxfId="1723" priority="13">
      <formula>H214&gt;0</formula>
    </cfRule>
    <cfRule type="expression" dxfId="1722" priority="14">
      <formula>H214&lt;0</formula>
    </cfRule>
  </conditionalFormatting>
  <conditionalFormatting sqref="F245:F256 H245:H256">
    <cfRule type="expression" dxfId="1721" priority="11">
      <formula>F245&gt;0</formula>
    </cfRule>
    <cfRule type="expression" dxfId="1720" priority="12">
      <formula>F245&lt;0</formula>
    </cfRule>
  </conditionalFormatting>
  <conditionalFormatting sqref="F261:F275 H261:H275">
    <cfRule type="expression" dxfId="1719" priority="9">
      <formula>F261&gt;0</formula>
    </cfRule>
    <cfRule type="expression" dxfId="1718" priority="10">
      <formula>F261&lt;0</formula>
    </cfRule>
  </conditionalFormatting>
  <conditionalFormatting sqref="F276:F283 H276:H283">
    <cfRule type="expression" dxfId="1717" priority="7">
      <formula>F276&gt;0</formula>
    </cfRule>
    <cfRule type="expression" dxfId="1716" priority="8">
      <formula>F276&lt;0</formula>
    </cfRule>
  </conditionalFormatting>
  <conditionalFormatting sqref="F219:F225 H219:H225">
    <cfRule type="expression" dxfId="1715" priority="5">
      <formula>F219&gt;0</formula>
    </cfRule>
    <cfRule type="expression" dxfId="1714" priority="6">
      <formula>F219&lt;0</formula>
    </cfRule>
  </conditionalFormatting>
  <conditionalFormatting sqref="H227:H230 F227:F230">
    <cfRule type="expression" dxfId="1713" priority="3">
      <formula>F227&gt;0</formula>
    </cfRule>
    <cfRule type="expression" dxfId="1712" priority="4">
      <formula>F227&lt;0</formula>
    </cfRule>
  </conditionalFormatting>
  <conditionalFormatting sqref="H234 F234">
    <cfRule type="expression" dxfId="1711" priority="1">
      <formula>F234&gt;0</formula>
    </cfRule>
    <cfRule type="expression" dxfId="1710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312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133.66999999999999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133.66999999999999</v>
      </c>
      <c r="R4" s="486">
        <v>-1.15E-2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89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1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11" t="s">
        <v>78</v>
      </c>
      <c r="P40" s="811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147.03700000000001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145.7003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144.36359999999999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143.02689999999998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141.6902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140.3535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139.01679999999999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137.68009999999998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136.3434</v>
      </c>
      <c r="Q49" s="2"/>
      <c r="T49" s="91" t="s">
        <v>121</v>
      </c>
      <c r="U49" s="127" t="s">
        <v>398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135.0067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133.66999999999999</v>
      </c>
      <c r="Q51" s="2"/>
      <c r="T51" s="91" t="s">
        <v>104</v>
      </c>
      <c r="U51" s="127" t="s">
        <v>626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132.33329999999998</v>
      </c>
      <c r="Q52" s="2"/>
      <c r="T52" s="91" t="s">
        <v>105</v>
      </c>
      <c r="U52" s="127" t="s">
        <v>430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130.99659999999997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129.65989999999999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128.32319999999999</v>
      </c>
      <c r="T55" s="91" t="s">
        <v>107</v>
      </c>
      <c r="U55" s="127" t="s">
        <v>627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126.98649999999998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125.64979999999998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124.31309999999999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122.9764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121.63969999999999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120.303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0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312</v>
      </c>
      <c r="B73" s="561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1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5">
        <v>42768</v>
      </c>
      <c r="C74" s="644">
        <v>40</v>
      </c>
      <c r="D74" s="642">
        <v>91.52</v>
      </c>
      <c r="E74" s="642">
        <v>0</v>
      </c>
      <c r="F74" s="642">
        <f>D74*C74+E74</f>
        <v>3660.7999999999997</v>
      </c>
      <c r="G74" s="655">
        <v>42803</v>
      </c>
      <c r="H74" s="644">
        <v>20</v>
      </c>
      <c r="I74" s="642">
        <v>91.58</v>
      </c>
      <c r="J74" s="642">
        <v>0.04</v>
      </c>
      <c r="K74" s="642">
        <f>I74*H74-J74</f>
        <v>1831.56</v>
      </c>
      <c r="L74" s="643"/>
      <c r="M74" s="642"/>
    </row>
    <row r="75" spans="1:31" x14ac:dyDescent="0.25">
      <c r="A75" s="254"/>
      <c r="B75" s="655">
        <v>42768</v>
      </c>
      <c r="C75" s="644">
        <v>40</v>
      </c>
      <c r="D75" s="642">
        <v>88.8</v>
      </c>
      <c r="E75" s="642">
        <v>0</v>
      </c>
      <c r="F75" s="642">
        <f>D75*C75+E75</f>
        <v>3552</v>
      </c>
      <c r="G75" s="655">
        <v>42803</v>
      </c>
      <c r="H75" s="653">
        <v>20</v>
      </c>
      <c r="I75" s="642">
        <v>92.2</v>
      </c>
      <c r="J75" s="642">
        <v>0.04</v>
      </c>
      <c r="K75" s="642">
        <f t="shared" ref="K75:K76" si="3">I75*H75-J75</f>
        <v>1843.96</v>
      </c>
      <c r="L75" s="644"/>
      <c r="M75" s="644"/>
    </row>
    <row r="76" spans="1:31" x14ac:dyDescent="0.25">
      <c r="A76" s="254"/>
      <c r="B76" s="655"/>
      <c r="C76" s="644"/>
      <c r="D76" s="642"/>
      <c r="E76" s="642"/>
      <c r="F76" s="642"/>
      <c r="G76" s="655">
        <v>42803</v>
      </c>
      <c r="H76" s="653">
        <v>40</v>
      </c>
      <c r="I76" s="642">
        <v>93</v>
      </c>
      <c r="J76" s="642">
        <v>0.08</v>
      </c>
      <c r="K76" s="642">
        <f t="shared" si="3"/>
        <v>3719.92</v>
      </c>
      <c r="L76" s="644"/>
      <c r="M76" s="644"/>
    </row>
    <row r="77" spans="1:31" x14ac:dyDescent="0.25">
      <c r="A77" s="254"/>
      <c r="B77" s="561"/>
      <c r="C77" s="254"/>
      <c r="D77" s="255"/>
      <c r="E77" s="255"/>
      <c r="F77" s="255"/>
      <c r="G77" s="561"/>
      <c r="H77" s="260"/>
      <c r="I77" s="255"/>
      <c r="J77" s="255"/>
      <c r="K77" s="255"/>
      <c r="L77" s="254"/>
      <c r="M77" s="254"/>
    </row>
    <row r="78" spans="1:31" x14ac:dyDescent="0.25">
      <c r="A78" s="254"/>
      <c r="B78" s="561"/>
      <c r="C78" s="254"/>
      <c r="D78" s="255"/>
      <c r="E78" s="255"/>
      <c r="F78" s="255"/>
      <c r="G78" s="561"/>
      <c r="H78" s="260"/>
      <c r="I78" s="255"/>
      <c r="J78" s="255"/>
      <c r="K78" s="255"/>
      <c r="L78" s="254"/>
      <c r="M78" s="254"/>
    </row>
    <row r="79" spans="1:31" x14ac:dyDescent="0.25">
      <c r="A79" s="254"/>
      <c r="B79" s="561"/>
      <c r="C79" s="254"/>
      <c r="D79" s="255"/>
      <c r="E79" s="255"/>
      <c r="F79" s="255"/>
      <c r="G79" s="561"/>
      <c r="H79" s="260"/>
      <c r="I79" s="255"/>
      <c r="J79" s="255"/>
      <c r="K79" s="255"/>
      <c r="L79" s="254"/>
      <c r="M79" s="254"/>
    </row>
    <row r="80" spans="1:31" x14ac:dyDescent="0.25">
      <c r="A80" s="254"/>
      <c r="B80" s="561"/>
      <c r="C80" s="254"/>
      <c r="D80" s="255"/>
      <c r="E80" s="255"/>
      <c r="F80" s="255"/>
      <c r="G80" s="561"/>
      <c r="H80" s="260"/>
      <c r="I80" s="255"/>
      <c r="J80" s="255"/>
      <c r="K80" s="255"/>
      <c r="L80" s="254"/>
      <c r="M80" s="254"/>
    </row>
    <row r="81" spans="1:13" x14ac:dyDescent="0.25">
      <c r="A81" s="254"/>
      <c r="B81" s="561"/>
      <c r="C81" s="254"/>
      <c r="D81" s="255"/>
      <c r="E81" s="255"/>
      <c r="F81" s="255"/>
      <c r="G81" s="561"/>
      <c r="H81" s="260"/>
      <c r="I81" s="255"/>
      <c r="J81" s="255"/>
      <c r="K81" s="255"/>
      <c r="L81" s="254"/>
      <c r="M81" s="254"/>
    </row>
    <row r="82" spans="1:13" x14ac:dyDescent="0.25">
      <c r="A82" s="254"/>
      <c r="B82" s="561"/>
      <c r="C82" s="254"/>
      <c r="D82" s="255"/>
      <c r="E82" s="255"/>
      <c r="F82" s="255"/>
      <c r="G82" s="561"/>
      <c r="H82" s="260"/>
      <c r="I82" s="255"/>
      <c r="J82" s="255"/>
      <c r="K82" s="255"/>
      <c r="L82" s="254"/>
      <c r="M82" s="254"/>
    </row>
    <row r="83" spans="1:13" x14ac:dyDescent="0.25">
      <c r="A83" s="254"/>
      <c r="B83" s="561"/>
      <c r="C83" s="254"/>
      <c r="D83" s="255"/>
      <c r="E83" s="255"/>
      <c r="F83" s="255"/>
      <c r="G83" s="561"/>
      <c r="H83" s="260"/>
      <c r="I83" s="255"/>
      <c r="J83" s="255"/>
      <c r="K83" s="255"/>
      <c r="L83" s="254"/>
      <c r="M83" s="254"/>
    </row>
    <row r="84" spans="1:13" x14ac:dyDescent="0.25">
      <c r="A84" s="254"/>
      <c r="B84" s="561"/>
      <c r="C84" s="254"/>
      <c r="D84" s="255"/>
      <c r="E84" s="255"/>
      <c r="F84" s="255"/>
      <c r="G84" s="561"/>
      <c r="H84" s="260"/>
      <c r="I84" s="255"/>
      <c r="J84" s="255"/>
      <c r="K84" s="255"/>
      <c r="L84" s="254"/>
      <c r="M84" s="254"/>
    </row>
    <row r="85" spans="1:13" x14ac:dyDescent="0.25">
      <c r="A85" s="254"/>
      <c r="B85" s="561"/>
      <c r="C85" s="254"/>
      <c r="D85" s="255"/>
      <c r="E85" s="255"/>
      <c r="F85" s="255"/>
      <c r="G85" s="561"/>
      <c r="H85" s="260"/>
      <c r="I85" s="255"/>
      <c r="J85" s="255"/>
      <c r="K85" s="255"/>
      <c r="L85" s="254"/>
      <c r="M85" s="254"/>
    </row>
    <row r="86" spans="1:13" x14ac:dyDescent="0.25">
      <c r="A86" s="254"/>
      <c r="B86" s="561"/>
      <c r="C86" s="254"/>
      <c r="D86" s="255"/>
      <c r="E86" s="255"/>
      <c r="F86" s="255"/>
      <c r="G86" s="561"/>
      <c r="H86" s="260"/>
      <c r="I86" s="255"/>
      <c r="J86" s="255"/>
      <c r="K86" s="255"/>
      <c r="L86" s="254"/>
      <c r="M86" s="254"/>
    </row>
    <row r="87" spans="1:13" x14ac:dyDescent="0.25">
      <c r="A87" s="254"/>
      <c r="B87" s="561"/>
      <c r="C87" s="254"/>
      <c r="D87" s="255"/>
      <c r="E87" s="255"/>
      <c r="F87" s="255"/>
      <c r="G87" s="561"/>
      <c r="H87" s="260"/>
      <c r="I87" s="255"/>
      <c r="J87" s="255"/>
      <c r="K87" s="255"/>
      <c r="L87" s="254"/>
      <c r="M87" s="254"/>
    </row>
    <row r="88" spans="1:13" x14ac:dyDescent="0.25">
      <c r="A88" s="254"/>
      <c r="B88" s="561"/>
      <c r="C88" s="254"/>
      <c r="D88" s="255"/>
      <c r="E88" s="255"/>
      <c r="F88" s="255"/>
      <c r="G88" s="561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89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49" t="s">
        <v>194</v>
      </c>
      <c r="B90" s="562"/>
      <c r="C90" s="451">
        <f>SumByColor($A$19,C73:C88)</f>
        <v>0</v>
      </c>
      <c r="D90" s="451"/>
      <c r="E90" s="451"/>
      <c r="F90" s="452">
        <f>SumByColor($A$19,F73:F88)</f>
        <v>0</v>
      </c>
      <c r="G90" s="451"/>
      <c r="H90" s="451">
        <f>SumByColor($A$19,H73:H88)</f>
        <v>0</v>
      </c>
      <c r="I90" s="451"/>
      <c r="J90" s="451"/>
      <c r="K90" s="452">
        <f>SumByColor($A$19,K73:K88)</f>
        <v>0</v>
      </c>
      <c r="L90" s="451"/>
      <c r="M90" s="452">
        <f>SumByColor($A$19,M73:M88)</f>
        <v>0</v>
      </c>
    </row>
    <row r="95" spans="1:13" x14ac:dyDescent="0.25">
      <c r="B95" s="491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4">
        <v>42704</v>
      </c>
      <c r="C96" s="370">
        <v>40</v>
      </c>
      <c r="D96" s="371">
        <v>83.05</v>
      </c>
      <c r="E96" s="371">
        <v>82.85</v>
      </c>
      <c r="F96" s="371">
        <f>C96*(E96-D96)</f>
        <v>-8.0000000000001137</v>
      </c>
      <c r="G96" s="371">
        <f>D96*C96</f>
        <v>3322</v>
      </c>
      <c r="H96" s="372">
        <f>(E96-D96)/D96</f>
        <v>-2.4081878386514491E-3</v>
      </c>
      <c r="I96" s="371"/>
    </row>
    <row r="97" spans="1:10" x14ac:dyDescent="0.25">
      <c r="B97" s="634">
        <v>42708</v>
      </c>
      <c r="C97" s="370">
        <v>40</v>
      </c>
      <c r="D97" s="371">
        <v>83.05</v>
      </c>
      <c r="E97" s="371">
        <v>83.35</v>
      </c>
      <c r="F97" s="371">
        <f>C97*(E97-D97)</f>
        <v>11.999999999999886</v>
      </c>
      <c r="G97" s="371">
        <f>D97*C97</f>
        <v>3322</v>
      </c>
      <c r="H97" s="372">
        <f>(E97-D97)/D97</f>
        <v>3.612281757977088E-3</v>
      </c>
      <c r="I97" s="371"/>
    </row>
    <row r="98" spans="1:10" x14ac:dyDescent="0.25">
      <c r="B98" s="634">
        <v>42729</v>
      </c>
      <c r="C98" s="370">
        <v>40</v>
      </c>
      <c r="D98" s="371">
        <v>83.05</v>
      </c>
      <c r="E98" s="371">
        <v>93</v>
      </c>
      <c r="F98" s="371">
        <f>C98*(E98-D98)</f>
        <v>398.00000000000011</v>
      </c>
      <c r="G98" s="371">
        <f>D98*C98</f>
        <v>3322</v>
      </c>
      <c r="H98" s="372">
        <f>(E98-D98)/D98</f>
        <v>0.11980734497290793</v>
      </c>
      <c r="I98" s="371"/>
    </row>
    <row r="99" spans="1:10" x14ac:dyDescent="0.25">
      <c r="B99" s="634">
        <v>42739</v>
      </c>
      <c r="C99" s="370">
        <v>0</v>
      </c>
      <c r="D99" s="371"/>
      <c r="E99" s="371"/>
      <c r="F99" s="371">
        <v>537.91999999999996</v>
      </c>
      <c r="G99" s="371"/>
      <c r="H99" s="372"/>
      <c r="I99" s="371"/>
    </row>
    <row r="100" spans="1:10" x14ac:dyDescent="0.25">
      <c r="A100" t="s">
        <v>360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360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4"/>
      <c r="C105" s="370"/>
      <c r="D105" s="371"/>
      <c r="E105" s="371"/>
      <c r="F105" s="371"/>
      <c r="G105" s="371"/>
      <c r="H105" s="372"/>
      <c r="I105" s="371"/>
    </row>
    <row r="106" spans="1:10" x14ac:dyDescent="0.25">
      <c r="B106" s="634"/>
      <c r="C106" s="370"/>
      <c r="D106" s="371"/>
      <c r="E106" s="371"/>
      <c r="F106" s="371"/>
      <c r="G106" s="371"/>
      <c r="H106" s="372"/>
      <c r="I106" s="371"/>
    </row>
    <row r="107" spans="1:10" x14ac:dyDescent="0.25">
      <c r="B107" s="634"/>
      <c r="C107" s="370"/>
      <c r="D107" s="371"/>
      <c r="E107" s="371"/>
      <c r="F107" s="371"/>
      <c r="G107" s="371"/>
      <c r="H107" s="372"/>
      <c r="I107" s="371"/>
    </row>
    <row r="108" spans="1:10" x14ac:dyDescent="0.25">
      <c r="B108" s="634"/>
      <c r="C108" s="370"/>
      <c r="D108" s="371"/>
      <c r="E108" s="371"/>
      <c r="F108" s="371"/>
      <c r="G108" s="371"/>
      <c r="H108" s="372"/>
      <c r="I108" s="371"/>
    </row>
    <row r="109" spans="1:10" x14ac:dyDescent="0.25">
      <c r="B109" s="634"/>
      <c r="C109" s="370"/>
      <c r="D109" s="371"/>
      <c r="E109" s="371"/>
      <c r="F109" s="371"/>
      <c r="G109" s="371"/>
      <c r="H109" s="372"/>
      <c r="I109" s="371"/>
    </row>
    <row r="110" spans="1:10" x14ac:dyDescent="0.25">
      <c r="B110" s="634"/>
      <c r="C110" s="370"/>
      <c r="D110" s="371"/>
      <c r="E110" s="371"/>
      <c r="F110" s="371"/>
      <c r="G110" s="371"/>
      <c r="H110" s="372"/>
      <c r="I110" s="371"/>
    </row>
    <row r="111" spans="1:10" x14ac:dyDescent="0.25">
      <c r="B111" s="634"/>
      <c r="C111" s="370"/>
      <c r="D111" s="371"/>
      <c r="E111" s="371"/>
      <c r="F111" s="371"/>
      <c r="G111" s="371"/>
      <c r="H111" s="372"/>
      <c r="I111" s="371"/>
    </row>
    <row r="112" spans="1:10" x14ac:dyDescent="0.25">
      <c r="B112" s="634"/>
      <c r="C112" s="370"/>
      <c r="D112" s="371"/>
      <c r="E112" s="371"/>
      <c r="F112" s="371"/>
      <c r="G112" s="371"/>
      <c r="H112" s="372"/>
      <c r="I112" s="371"/>
    </row>
    <row r="113" spans="2:9" x14ac:dyDescent="0.25">
      <c r="B113" s="634"/>
      <c r="C113" s="370"/>
      <c r="D113" s="371"/>
      <c r="E113" s="371"/>
      <c r="F113" s="371"/>
      <c r="G113" s="371"/>
      <c r="H113" s="372"/>
      <c r="I113" s="371"/>
    </row>
    <row r="114" spans="2:9" x14ac:dyDescent="0.25">
      <c r="B114" s="634"/>
      <c r="C114" s="370"/>
      <c r="D114" s="371"/>
      <c r="E114" s="371"/>
      <c r="F114" s="371"/>
      <c r="G114" s="371"/>
      <c r="H114" s="372"/>
      <c r="I114" s="371"/>
    </row>
    <row r="115" spans="2:9" x14ac:dyDescent="0.25">
      <c r="B115" s="634"/>
      <c r="C115" s="370"/>
      <c r="D115" s="371"/>
      <c r="E115" s="371"/>
      <c r="F115" s="371"/>
      <c r="G115" s="371"/>
      <c r="H115" s="372"/>
      <c r="I115" s="371"/>
    </row>
    <row r="116" spans="2:9" x14ac:dyDescent="0.25">
      <c r="B116" s="634"/>
      <c r="C116" s="370"/>
      <c r="D116" s="371"/>
      <c r="E116" s="371"/>
      <c r="F116" s="371"/>
      <c r="G116" s="371"/>
      <c r="H116" s="372"/>
      <c r="I116" s="371"/>
    </row>
    <row r="117" spans="2:9" x14ac:dyDescent="0.25">
      <c r="B117" s="634"/>
      <c r="C117" s="370"/>
      <c r="D117" s="371"/>
      <c r="E117" s="371"/>
      <c r="F117" s="371"/>
      <c r="G117" s="371"/>
      <c r="H117" s="372"/>
      <c r="I117" s="371"/>
    </row>
    <row r="118" spans="2:9" x14ac:dyDescent="0.25">
      <c r="B118" s="634"/>
      <c r="C118" s="370"/>
      <c r="D118" s="371"/>
      <c r="E118" s="371"/>
      <c r="F118" s="371"/>
      <c r="G118" s="371"/>
      <c r="H118" s="372"/>
      <c r="I118" s="453"/>
    </row>
    <row r="119" spans="2:9" x14ac:dyDescent="0.25">
      <c r="B119" s="634"/>
      <c r="C119" s="370"/>
      <c r="D119" s="371"/>
      <c r="E119" s="371"/>
      <c r="F119" s="371"/>
      <c r="G119" s="371"/>
      <c r="H119" s="372"/>
      <c r="I119" s="371"/>
    </row>
    <row r="120" spans="2:9" x14ac:dyDescent="0.25">
      <c r="B120" s="634"/>
      <c r="C120" s="370"/>
      <c r="D120" s="371"/>
      <c r="E120" s="371"/>
      <c r="F120" s="371"/>
      <c r="G120" s="371"/>
      <c r="H120" s="372"/>
      <c r="I120" s="371"/>
    </row>
    <row r="121" spans="2:9" x14ac:dyDescent="0.25">
      <c r="B121" s="634"/>
      <c r="C121" s="370"/>
      <c r="D121" s="371"/>
      <c r="E121" s="371"/>
      <c r="F121" s="371"/>
      <c r="G121" s="371"/>
      <c r="H121" s="372"/>
      <c r="I121" s="371"/>
    </row>
    <row r="122" spans="2:9" x14ac:dyDescent="0.25">
      <c r="B122" s="634"/>
      <c r="C122" s="370"/>
      <c r="D122" s="371"/>
      <c r="E122" s="371"/>
      <c r="F122" s="371"/>
      <c r="G122" s="371"/>
      <c r="H122" s="372"/>
      <c r="I122" s="371"/>
    </row>
    <row r="123" spans="2:9" x14ac:dyDescent="0.25">
      <c r="B123" s="634"/>
      <c r="C123" s="370"/>
      <c r="D123" s="371"/>
      <c r="E123" s="371"/>
      <c r="F123" s="371"/>
      <c r="G123" s="371"/>
      <c r="H123" s="372"/>
      <c r="I123" s="371"/>
    </row>
    <row r="124" spans="2:9" x14ac:dyDescent="0.25">
      <c r="B124" s="634"/>
      <c r="C124" s="370"/>
      <c r="D124" s="371"/>
      <c r="E124" s="371"/>
      <c r="F124" s="371"/>
      <c r="G124" s="371"/>
      <c r="H124" s="372"/>
      <c r="I124" s="371"/>
    </row>
    <row r="125" spans="2:9" x14ac:dyDescent="0.25">
      <c r="B125" s="634"/>
      <c r="C125" s="370"/>
      <c r="D125" s="371"/>
      <c r="E125" s="371"/>
      <c r="F125" s="371"/>
      <c r="G125" s="371"/>
      <c r="H125" s="372"/>
      <c r="I125" s="371"/>
    </row>
    <row r="126" spans="2:9" x14ac:dyDescent="0.25">
      <c r="B126" s="634"/>
      <c r="C126" s="370"/>
      <c r="D126" s="371"/>
      <c r="E126" s="371"/>
      <c r="F126" s="371"/>
      <c r="G126" s="371"/>
      <c r="H126" s="372"/>
      <c r="I126" s="371"/>
    </row>
    <row r="127" spans="2:9" x14ac:dyDescent="0.25">
      <c r="B127" s="634"/>
      <c r="C127" s="370"/>
      <c r="D127" s="371"/>
      <c r="E127" s="371"/>
      <c r="F127" s="371"/>
      <c r="G127" s="371"/>
      <c r="H127" s="372"/>
      <c r="I127" s="371"/>
    </row>
    <row r="128" spans="2:9" x14ac:dyDescent="0.25">
      <c r="B128" s="634"/>
      <c r="C128" s="370"/>
      <c r="D128" s="371"/>
      <c r="E128" s="371"/>
      <c r="F128" s="371"/>
      <c r="G128" s="371"/>
      <c r="H128" s="372"/>
      <c r="I128" s="371"/>
    </row>
    <row r="129" spans="2:9" x14ac:dyDescent="0.25">
      <c r="B129" s="634"/>
      <c r="C129" s="370"/>
      <c r="D129" s="371"/>
      <c r="E129" s="371"/>
      <c r="F129" s="371"/>
      <c r="G129" s="371"/>
      <c r="H129" s="372"/>
      <c r="I129" s="371"/>
    </row>
    <row r="130" spans="2:9" x14ac:dyDescent="0.25">
      <c r="B130" s="634"/>
      <c r="C130" s="370"/>
      <c r="D130" s="371"/>
      <c r="E130" s="371"/>
      <c r="F130" s="371"/>
      <c r="G130" s="371"/>
      <c r="H130" s="372"/>
      <c r="I130" s="371"/>
    </row>
    <row r="131" spans="2:9" x14ac:dyDescent="0.25">
      <c r="B131" s="634"/>
      <c r="C131" s="370"/>
      <c r="D131" s="371"/>
      <c r="E131" s="371"/>
      <c r="F131" s="371"/>
      <c r="G131" s="371"/>
      <c r="H131" s="372"/>
      <c r="I131" s="371"/>
    </row>
    <row r="132" spans="2:9" x14ac:dyDescent="0.25">
      <c r="B132" s="634"/>
      <c r="C132" s="370"/>
      <c r="D132" s="371"/>
      <c r="E132" s="371"/>
      <c r="F132" s="371"/>
      <c r="G132" s="371"/>
      <c r="H132" s="372"/>
      <c r="I132" s="371"/>
    </row>
    <row r="133" spans="2:9" x14ac:dyDescent="0.25">
      <c r="B133" s="634"/>
      <c r="C133" s="370"/>
      <c r="D133" s="371"/>
      <c r="E133" s="371"/>
      <c r="F133" s="371"/>
      <c r="G133" s="371"/>
      <c r="H133" s="372"/>
      <c r="I133" s="371"/>
    </row>
    <row r="134" spans="2:9" x14ac:dyDescent="0.25">
      <c r="B134" s="634"/>
      <c r="C134" s="370"/>
      <c r="D134" s="371"/>
      <c r="E134" s="371"/>
      <c r="F134" s="371"/>
      <c r="G134" s="371"/>
      <c r="H134" s="372"/>
      <c r="I134" s="371"/>
    </row>
    <row r="135" spans="2:9" x14ac:dyDescent="0.25">
      <c r="B135" s="634"/>
      <c r="C135" s="370"/>
      <c r="D135" s="371"/>
      <c r="E135" s="371"/>
      <c r="F135" s="371"/>
      <c r="G135" s="371"/>
      <c r="H135" s="372"/>
      <c r="I135" s="371"/>
    </row>
    <row r="136" spans="2:9" x14ac:dyDescent="0.25">
      <c r="B136" s="634"/>
      <c r="C136" s="370"/>
      <c r="D136" s="371"/>
      <c r="E136" s="371"/>
      <c r="F136" s="371"/>
      <c r="G136" s="371"/>
      <c r="H136" s="372"/>
      <c r="I136" s="371"/>
    </row>
    <row r="137" spans="2:9" x14ac:dyDescent="0.25">
      <c r="B137" s="634"/>
      <c r="C137" s="370"/>
      <c r="D137" s="371"/>
      <c r="E137" s="371"/>
      <c r="F137" s="371"/>
      <c r="G137" s="371"/>
      <c r="H137" s="372"/>
      <c r="I137" s="371"/>
    </row>
    <row r="138" spans="2:9" x14ac:dyDescent="0.25">
      <c r="B138" s="634"/>
      <c r="C138" s="370"/>
      <c r="D138" s="371"/>
      <c r="E138" s="371"/>
      <c r="F138" s="371"/>
      <c r="G138" s="371"/>
      <c r="H138" s="372"/>
      <c r="I138" s="371"/>
    </row>
    <row r="139" spans="2:9" x14ac:dyDescent="0.25">
      <c r="B139" s="634"/>
      <c r="C139" s="370"/>
      <c r="D139" s="371"/>
      <c r="E139" s="371"/>
      <c r="F139" s="371"/>
      <c r="G139" s="371"/>
      <c r="H139" s="372"/>
      <c r="I139" s="371"/>
    </row>
    <row r="140" spans="2:9" x14ac:dyDescent="0.25">
      <c r="B140" s="634"/>
      <c r="C140" s="370"/>
      <c r="D140" s="371"/>
      <c r="E140" s="371"/>
      <c r="F140" s="371"/>
      <c r="G140" s="371"/>
      <c r="H140" s="372"/>
      <c r="I140" s="371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709" priority="43">
      <formula>F33&gt;0</formula>
    </cfRule>
    <cfRule type="expression" dxfId="1708" priority="44">
      <formula>F33&lt;0</formula>
    </cfRule>
  </conditionalFormatting>
  <conditionalFormatting sqref="Q7">
    <cfRule type="expression" dxfId="1707" priority="41">
      <formula>Q7&gt;0</formula>
    </cfRule>
    <cfRule type="expression" dxfId="1706" priority="42">
      <formula>Q7&lt;0</formula>
    </cfRule>
  </conditionalFormatting>
  <conditionalFormatting sqref="Q8">
    <cfRule type="expression" dxfId="1705" priority="39">
      <formula>Q8&gt;0</formula>
    </cfRule>
    <cfRule type="expression" dxfId="1704" priority="40">
      <formula>Q8&lt;0</formula>
    </cfRule>
  </conditionalFormatting>
  <conditionalFormatting sqref="F29 F32">
    <cfRule type="expression" dxfId="1703" priority="37">
      <formula>F29&gt;0</formula>
    </cfRule>
    <cfRule type="expression" dxfId="1702" priority="38">
      <formula>F29&lt;0</formula>
    </cfRule>
  </conditionalFormatting>
  <conditionalFormatting sqref="H29 H32">
    <cfRule type="expression" dxfId="1701" priority="35">
      <formula>H29&gt;0</formula>
    </cfRule>
    <cfRule type="expression" dxfId="1700" priority="36">
      <formula>H29&lt;0</formula>
    </cfRule>
  </conditionalFormatting>
  <conditionalFormatting sqref="F30:F31">
    <cfRule type="expression" dxfId="1699" priority="33">
      <formula>F30&gt;0</formula>
    </cfRule>
    <cfRule type="expression" dxfId="1698" priority="34">
      <formula>F30&lt;0</formula>
    </cfRule>
  </conditionalFormatting>
  <conditionalFormatting sqref="H30:H31">
    <cfRule type="expression" dxfId="1697" priority="31">
      <formula>H30&gt;0</formula>
    </cfRule>
    <cfRule type="expression" dxfId="1696" priority="32">
      <formula>H30&lt;0</formula>
    </cfRule>
  </conditionalFormatting>
  <conditionalFormatting sqref="F105:F140 H105:H140">
    <cfRule type="expression" dxfId="1695" priority="29">
      <formula>F105&gt;0</formula>
    </cfRule>
    <cfRule type="expression" dxfId="1694" priority="30">
      <formula>F105&lt;0</formula>
    </cfRule>
  </conditionalFormatting>
  <conditionalFormatting sqref="F96:F99">
    <cfRule type="expression" dxfId="1693" priority="27">
      <formula>F96&gt;0</formula>
    </cfRule>
    <cfRule type="expression" dxfId="1692" priority="28">
      <formula>F96&lt;0</formula>
    </cfRule>
  </conditionalFormatting>
  <conditionalFormatting sqref="H96:H99">
    <cfRule type="expression" dxfId="1691" priority="25">
      <formula>H96&gt;0</formula>
    </cfRule>
    <cfRule type="expression" dxfId="1690" priority="26">
      <formula>H96&lt;0</formula>
    </cfRule>
  </conditionalFormatting>
  <conditionalFormatting sqref="F25:F28">
    <cfRule type="expression" dxfId="1689" priority="19">
      <formula>F25&gt;0</formula>
    </cfRule>
    <cfRule type="expression" dxfId="1688" priority="20">
      <formula>F25&lt;0</formula>
    </cfRule>
  </conditionalFormatting>
  <conditionalFormatting sqref="H25:H28">
    <cfRule type="expression" dxfId="1687" priority="17">
      <formula>H25&gt;0</formula>
    </cfRule>
    <cfRule type="expression" dxfId="1686" priority="18">
      <formula>H25&lt;0</formula>
    </cfRule>
  </conditionalFormatting>
  <conditionalFormatting sqref="J27">
    <cfRule type="expression" dxfId="1685" priority="15">
      <formula>J27&gt;0</formula>
    </cfRule>
    <cfRule type="expression" dxfId="1684" priority="16">
      <formula>J27&lt;0</formula>
    </cfRule>
  </conditionalFormatting>
  <conditionalFormatting sqref="F104">
    <cfRule type="expression" dxfId="1683" priority="13">
      <formula>F104&gt;0</formula>
    </cfRule>
    <cfRule type="expression" dxfId="1682" priority="14">
      <formula>F104&lt;0</formula>
    </cfRule>
  </conditionalFormatting>
  <conditionalFormatting sqref="H104">
    <cfRule type="expression" dxfId="1681" priority="11">
      <formula>H104&gt;0</formula>
    </cfRule>
    <cfRule type="expression" dxfId="1680" priority="12">
      <formula>H104&lt;0</formula>
    </cfRule>
  </conditionalFormatting>
  <conditionalFormatting sqref="F100:F103">
    <cfRule type="expression" dxfId="1679" priority="9">
      <formula>F100&gt;0</formula>
    </cfRule>
    <cfRule type="expression" dxfId="1678" priority="10">
      <formula>F100&lt;0</formula>
    </cfRule>
  </conditionalFormatting>
  <conditionalFormatting sqref="H100:H103">
    <cfRule type="expression" dxfId="1677" priority="7">
      <formula>H100&gt;0</formula>
    </cfRule>
    <cfRule type="expression" dxfId="1676" priority="8">
      <formula>H100&lt;0</formula>
    </cfRule>
  </conditionalFormatting>
  <conditionalFormatting sqref="J102">
    <cfRule type="expression" dxfId="1675" priority="5">
      <formula>J102&gt;0</formula>
    </cfRule>
    <cfRule type="expression" dxfId="1674" priority="6">
      <formula>J102&lt;0</formula>
    </cfRule>
  </conditionalFormatting>
  <conditionalFormatting sqref="Q10">
    <cfRule type="expression" dxfId="1673" priority="3">
      <formula>Q10&gt;0</formula>
    </cfRule>
    <cfRule type="expression" dxfId="1672" priority="4">
      <formula>Q10&lt;0</formula>
    </cfRule>
  </conditionalFormatting>
  <conditionalFormatting sqref="M71">
    <cfRule type="expression" dxfId="1671" priority="1">
      <formula>M71&gt;0</formula>
    </cfRule>
    <cfRule type="expression" dxfId="1670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82.68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82.68</v>
      </c>
      <c r="R4" s="486">
        <v>6.93E-2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90.948000000000022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90.121200000000016</v>
      </c>
      <c r="Q42" s="2"/>
      <c r="T42" s="89"/>
    </row>
    <row r="43" spans="1:21" ht="15.75" thickTop="1" x14ac:dyDescent="0.25">
      <c r="O43" s="81">
        <v>1.08</v>
      </c>
      <c r="P43" s="81">
        <f t="shared" si="0"/>
        <v>89.29440000000001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88.467600000000019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87.640800000000013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86.814000000000007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85.987200000000016</v>
      </c>
      <c r="Q47" s="2"/>
      <c r="T47" s="91"/>
      <c r="U47" s="127"/>
    </row>
    <row r="48" spans="1:21" x14ac:dyDescent="0.25">
      <c r="A48" s="258" t="s">
        <v>732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85.16040000000001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84.333600000000004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83.506800000000013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82.68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81.853200000000001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81.02640000000001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80.199600000000004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79.372799999999998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78.546000000000006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77.719200000000001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76.892400000000009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76.065600000000003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75.238800000000012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74.412000000000006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49" t="s">
        <v>194</v>
      </c>
      <c r="B65" s="450"/>
      <c r="C65" s="451">
        <f>SumByColor($A$19,C48:C63)</f>
        <v>0</v>
      </c>
      <c r="D65" s="451"/>
      <c r="E65" s="451"/>
      <c r="F65" s="452">
        <f>SumByColor($A$19,F48:F63)</f>
        <v>0</v>
      </c>
      <c r="G65" s="451"/>
      <c r="H65" s="451">
        <f>SumByColor($A$19,H48:H63)</f>
        <v>0</v>
      </c>
      <c r="I65" s="451"/>
      <c r="J65" s="451"/>
      <c r="K65" s="452">
        <f>SumByColor($A$19,K48:K63)</f>
        <v>0</v>
      </c>
      <c r="L65" s="451"/>
      <c r="M65" s="452">
        <f>SumByColor($A$19,M48:M63)</f>
        <v>0</v>
      </c>
    </row>
    <row r="69" spans="1:13" x14ac:dyDescent="0.25">
      <c r="B69" s="497" t="s">
        <v>113</v>
      </c>
      <c r="C69" s="497" t="s">
        <v>146</v>
      </c>
      <c r="D69" s="498" t="s">
        <v>145</v>
      </c>
      <c r="E69" s="499" t="s">
        <v>147</v>
      </c>
      <c r="F69" s="499" t="s">
        <v>65</v>
      </c>
      <c r="G69" s="501" t="s">
        <v>151</v>
      </c>
      <c r="H69" s="501" t="s">
        <v>88</v>
      </c>
      <c r="I69" s="501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69"/>
      <c r="C73" s="370"/>
      <c r="D73" s="371"/>
      <c r="E73" s="371"/>
      <c r="F73" s="371"/>
      <c r="G73" s="371"/>
      <c r="H73" s="372"/>
      <c r="I73" s="371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69"/>
      <c r="C77" s="370"/>
      <c r="D77" s="371"/>
      <c r="E77" s="371"/>
      <c r="F77" s="371"/>
      <c r="G77" s="371"/>
      <c r="H77" s="372"/>
      <c r="I77" s="371"/>
    </row>
    <row r="78" spans="1:13" x14ac:dyDescent="0.25">
      <c r="B78" s="369"/>
      <c r="C78" s="370"/>
      <c r="D78" s="371"/>
      <c r="E78" s="371"/>
      <c r="F78" s="371"/>
      <c r="G78" s="371"/>
      <c r="H78" s="372"/>
      <c r="I78" s="453"/>
    </row>
    <row r="79" spans="1:13" x14ac:dyDescent="0.25">
      <c r="B79" s="369"/>
      <c r="C79" s="370"/>
      <c r="D79" s="371"/>
      <c r="E79" s="371"/>
      <c r="F79" s="371"/>
      <c r="G79" s="371"/>
      <c r="H79" s="372"/>
      <c r="I79" s="371"/>
    </row>
    <row r="80" spans="1:13" x14ac:dyDescent="0.25">
      <c r="B80" s="369"/>
      <c r="C80" s="370"/>
      <c r="D80" s="371"/>
      <c r="E80" s="371"/>
      <c r="F80" s="371"/>
      <c r="G80" s="371"/>
      <c r="H80" s="372"/>
      <c r="I80" s="371"/>
    </row>
    <row r="81" spans="2:9" x14ac:dyDescent="0.25">
      <c r="B81" s="369"/>
      <c r="C81" s="370"/>
      <c r="D81" s="371"/>
      <c r="E81" s="371"/>
      <c r="F81" s="371"/>
      <c r="G81" s="371"/>
      <c r="H81" s="372"/>
      <c r="I81" s="371"/>
    </row>
    <row r="82" spans="2:9" x14ac:dyDescent="0.25">
      <c r="B82" s="369"/>
      <c r="C82" s="370"/>
      <c r="D82" s="371"/>
      <c r="E82" s="371"/>
      <c r="F82" s="371"/>
      <c r="G82" s="371"/>
      <c r="H82" s="372"/>
      <c r="I82" s="371"/>
    </row>
    <row r="83" spans="2:9" x14ac:dyDescent="0.25">
      <c r="B83" s="369"/>
      <c r="C83" s="370"/>
      <c r="D83" s="371"/>
      <c r="E83" s="371"/>
      <c r="F83" s="371"/>
      <c r="G83" s="371"/>
      <c r="H83" s="372"/>
      <c r="I83" s="371"/>
    </row>
    <row r="84" spans="2:9" x14ac:dyDescent="0.25">
      <c r="B84" s="369"/>
      <c r="C84" s="370"/>
      <c r="D84" s="371"/>
      <c r="E84" s="371"/>
      <c r="F84" s="371"/>
      <c r="G84" s="371"/>
      <c r="H84" s="372"/>
      <c r="I84" s="371"/>
    </row>
    <row r="85" spans="2:9" x14ac:dyDescent="0.25">
      <c r="B85" s="369"/>
      <c r="C85" s="370"/>
      <c r="D85" s="371"/>
      <c r="E85" s="371"/>
      <c r="F85" s="371"/>
      <c r="G85" s="371"/>
      <c r="H85" s="372"/>
      <c r="I85" s="371"/>
    </row>
    <row r="86" spans="2:9" x14ac:dyDescent="0.25">
      <c r="B86" s="369"/>
      <c r="C86" s="370"/>
      <c r="D86" s="371"/>
      <c r="E86" s="371"/>
      <c r="F86" s="371"/>
      <c r="G86" s="371"/>
      <c r="H86" s="372"/>
      <c r="I86" s="371"/>
    </row>
    <row r="87" spans="2:9" x14ac:dyDescent="0.25">
      <c r="B87" s="369"/>
      <c r="C87" s="370"/>
      <c r="D87" s="371"/>
      <c r="E87" s="371"/>
      <c r="F87" s="371"/>
      <c r="G87" s="371"/>
      <c r="H87" s="372"/>
      <c r="I87" s="371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69" priority="33">
      <formula>F34&gt;0</formula>
    </cfRule>
    <cfRule type="expression" dxfId="1668" priority="34">
      <formula>F34&lt;0</formula>
    </cfRule>
  </conditionalFormatting>
  <conditionalFormatting sqref="Q7">
    <cfRule type="expression" dxfId="1667" priority="31">
      <formula>Q7&gt;0</formula>
    </cfRule>
    <cfRule type="expression" dxfId="1666" priority="32">
      <formula>Q7&lt;0</formula>
    </cfRule>
  </conditionalFormatting>
  <conditionalFormatting sqref="Q8">
    <cfRule type="expression" dxfId="1665" priority="29">
      <formula>Q8&gt;0</formula>
    </cfRule>
    <cfRule type="expression" dxfId="1664" priority="30">
      <formula>Q8&lt;0</formula>
    </cfRule>
  </conditionalFormatting>
  <conditionalFormatting sqref="F27:F33">
    <cfRule type="expression" dxfId="1663" priority="27">
      <formula>F27&gt;0</formula>
    </cfRule>
    <cfRule type="expression" dxfId="1662" priority="28">
      <formula>F27&lt;0</formula>
    </cfRule>
  </conditionalFormatting>
  <conditionalFormatting sqref="H27:H33">
    <cfRule type="expression" dxfId="1661" priority="25">
      <formula>H27&gt;0</formula>
    </cfRule>
    <cfRule type="expression" dxfId="1660" priority="26">
      <formula>H27&lt;0</formula>
    </cfRule>
  </conditionalFormatting>
  <conditionalFormatting sqref="M46">
    <cfRule type="expression" dxfId="1659" priority="23">
      <formula>M46&gt;0</formula>
    </cfRule>
    <cfRule type="expression" dxfId="1658" priority="24">
      <formula>M46&lt;0</formula>
    </cfRule>
  </conditionalFormatting>
  <conditionalFormatting sqref="F79:F87 H79:H87">
    <cfRule type="expression" dxfId="1657" priority="21">
      <formula>F79&gt;0</formula>
    </cfRule>
    <cfRule type="expression" dxfId="1656" priority="22">
      <formula>F79&lt;0</formula>
    </cfRule>
  </conditionalFormatting>
  <conditionalFormatting sqref="F73 F77:F78">
    <cfRule type="expression" dxfId="1655" priority="19">
      <formula>F73&gt;0</formula>
    </cfRule>
    <cfRule type="expression" dxfId="1654" priority="20">
      <formula>F73&lt;0</formula>
    </cfRule>
  </conditionalFormatting>
  <conditionalFormatting sqref="H73 H77:H78">
    <cfRule type="expression" dxfId="1653" priority="17">
      <formula>H73&gt;0</formula>
    </cfRule>
    <cfRule type="expression" dxfId="1652" priority="18">
      <formula>H73&lt;0</formula>
    </cfRule>
  </conditionalFormatting>
  <conditionalFormatting sqref="F70:F72">
    <cfRule type="expression" dxfId="1651" priority="15">
      <formula>F70&gt;0</formula>
    </cfRule>
    <cfRule type="expression" dxfId="1650" priority="16">
      <formula>F70&lt;0</formula>
    </cfRule>
  </conditionalFormatting>
  <conditionalFormatting sqref="H70:H72">
    <cfRule type="expression" dxfId="1649" priority="13">
      <formula>H70&gt;0</formula>
    </cfRule>
    <cfRule type="expression" dxfId="1648" priority="14">
      <formula>H70&lt;0</formula>
    </cfRule>
  </conditionalFormatting>
  <conditionalFormatting sqref="F25:F26">
    <cfRule type="expression" dxfId="1647" priority="11">
      <formula>F25&gt;0</formula>
    </cfRule>
    <cfRule type="expression" dxfId="1646" priority="12">
      <formula>F25&lt;0</formula>
    </cfRule>
  </conditionalFormatting>
  <conditionalFormatting sqref="H25:H26">
    <cfRule type="expression" dxfId="1645" priority="9">
      <formula>H25&gt;0</formula>
    </cfRule>
    <cfRule type="expression" dxfId="1644" priority="10">
      <formula>H25&lt;0</formula>
    </cfRule>
  </conditionalFormatting>
  <conditionalFormatting sqref="F76">
    <cfRule type="expression" dxfId="1643" priority="7">
      <formula>F76&gt;0</formula>
    </cfRule>
    <cfRule type="expression" dxfId="1642" priority="8">
      <formula>F76&lt;0</formula>
    </cfRule>
  </conditionalFormatting>
  <conditionalFormatting sqref="H76">
    <cfRule type="expression" dxfId="1641" priority="5">
      <formula>H76&gt;0</formula>
    </cfRule>
    <cfRule type="expression" dxfId="1640" priority="6">
      <formula>H76&lt;0</formula>
    </cfRule>
  </conditionalFormatting>
  <conditionalFormatting sqref="F74:F75">
    <cfRule type="expression" dxfId="1639" priority="3">
      <formula>F74&gt;0</formula>
    </cfRule>
    <cfRule type="expression" dxfId="1638" priority="4">
      <formula>F74&lt;0</formula>
    </cfRule>
  </conditionalFormatting>
  <conditionalFormatting sqref="H74:H75">
    <cfRule type="expression" dxfId="1637" priority="1">
      <formula>H74&gt;0</formula>
    </cfRule>
    <cfRule type="expression" dxfId="1636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778</v>
      </c>
      <c r="B2" s="444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4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938</v>
      </c>
      <c r="V2" s="134"/>
    </row>
    <row r="3" spans="1:22" x14ac:dyDescent="0.25">
      <c r="A3" s="22" t="s">
        <v>71</v>
      </c>
      <c r="B3" s="44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4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939</v>
      </c>
      <c r="V3" s="134"/>
    </row>
    <row r="4" spans="1:22" x14ac:dyDescent="0.25">
      <c r="B4" s="44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4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68.89</v>
      </c>
      <c r="R4" s="508">
        <v>-3.5999999999999999E-3</v>
      </c>
      <c r="T4" s="159"/>
      <c r="U4" s="1"/>
      <c r="V4" s="134"/>
    </row>
    <row r="5" spans="1:22" x14ac:dyDescent="0.25">
      <c r="B5" s="44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4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10333.5</v>
      </c>
      <c r="V5" s="134"/>
    </row>
    <row r="6" spans="1:22" x14ac:dyDescent="0.25">
      <c r="B6" s="44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4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-173.01000000000204</v>
      </c>
      <c r="R7">
        <v>50</v>
      </c>
      <c r="V7" s="134"/>
    </row>
    <row r="8" spans="1:22" x14ac:dyDescent="0.25">
      <c r="B8" s="44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-173.01000000000204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-1.6466933358460802E-2</v>
      </c>
      <c r="V9" s="134"/>
    </row>
    <row r="10" spans="1:22" x14ac:dyDescent="0.25">
      <c r="B10" s="485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5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2.3225431847873422E-2</v>
      </c>
      <c r="R11">
        <f>0.4</f>
        <v>0.4</v>
      </c>
      <c r="V11" s="134"/>
    </row>
    <row r="12" spans="1:22" x14ac:dyDescent="0.25">
      <c r="C12" s="4"/>
      <c r="D12" s="3"/>
      <c r="E12" s="3"/>
      <c r="F12" s="3"/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SUM(C2:C12)</f>
        <v>500</v>
      </c>
      <c r="D18" s="18"/>
      <c r="E18" s="18"/>
      <c r="F18" s="18">
        <f>SUM(F2:F12)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513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3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3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3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3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808</v>
      </c>
      <c r="J33" s="39"/>
      <c r="K33" s="39"/>
      <c r="L33" s="743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810</v>
      </c>
      <c r="J34" s="39"/>
      <c r="K34" s="39"/>
      <c r="L34" s="743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3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815</v>
      </c>
      <c r="J36" s="39"/>
      <c r="K36" s="39"/>
      <c r="L36" s="743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820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827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894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900</v>
      </c>
      <c r="J40" s="39"/>
      <c r="K40" s="39"/>
      <c r="L40" s="39"/>
      <c r="O40" s="811" t="s">
        <v>78</v>
      </c>
      <c r="P40" s="811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75.779000000000011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75.090100000000007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74.401200000000003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73.712299999999999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73.023400000000009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72.334500000000006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71.645600000000002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70.956699999999998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70.267800000000008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69.578900000000004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68.89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68.201099999999997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67.512199999999993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66.823300000000003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66.134399999999999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65.445499999999996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64.756599999999992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64.067700000000002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63.378800000000005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62.689900000000002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62.001000000000005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V67" s="134"/>
    </row>
    <row r="68" spans="1:22" x14ac:dyDescent="0.25">
      <c r="A68" s="526" t="s">
        <v>777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V68" s="134"/>
    </row>
    <row r="69" spans="1:22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V69" s="134"/>
    </row>
    <row r="70" spans="1:22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2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2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2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2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2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2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2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2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2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2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635" priority="21">
      <formula>F55&gt;0</formula>
    </cfRule>
    <cfRule type="expression" dxfId="1634" priority="22">
      <formula>F55&lt;0</formula>
    </cfRule>
  </conditionalFormatting>
  <conditionalFormatting sqref="Q7">
    <cfRule type="expression" dxfId="1633" priority="19">
      <formula>Q7&gt;0</formula>
    </cfRule>
    <cfRule type="expression" dxfId="1632" priority="20">
      <formula>Q7&lt;0</formula>
    </cfRule>
  </conditionalFormatting>
  <conditionalFormatting sqref="Q8">
    <cfRule type="expression" dxfId="1631" priority="17">
      <formula>Q8&gt;0</formula>
    </cfRule>
    <cfRule type="expression" dxfId="1630" priority="18">
      <formula>Q8&lt;0</formula>
    </cfRule>
  </conditionalFormatting>
  <conditionalFormatting sqref="F25:F54">
    <cfRule type="expression" dxfId="1629" priority="15">
      <formula>F25&gt;0</formula>
    </cfRule>
    <cfRule type="expression" dxfId="1628" priority="16">
      <formula>F25&lt;0</formula>
    </cfRule>
  </conditionalFormatting>
  <conditionalFormatting sqref="H25:H54">
    <cfRule type="expression" dxfId="1627" priority="13">
      <formula>H25&gt;0</formula>
    </cfRule>
    <cfRule type="expression" dxfId="1626" priority="14">
      <formula>H25&lt;0</formula>
    </cfRule>
  </conditionalFormatting>
  <conditionalFormatting sqref="F89:F110">
    <cfRule type="expression" dxfId="1625" priority="11">
      <formula>F89&gt;0</formula>
    </cfRule>
    <cfRule type="expression" dxfId="1624" priority="12">
      <formula>F89&lt;0</formula>
    </cfRule>
  </conditionalFormatting>
  <conditionalFormatting sqref="H89:H110">
    <cfRule type="expression" dxfId="1623" priority="9">
      <formula>H89&gt;0</formula>
    </cfRule>
    <cfRule type="expression" dxfId="1622" priority="10">
      <formula>H89&lt;0</formula>
    </cfRule>
  </conditionalFormatting>
  <conditionalFormatting sqref="Q10">
    <cfRule type="expression" dxfId="1621" priority="7">
      <formula>Q10&gt;0</formula>
    </cfRule>
    <cfRule type="expression" dxfId="1620" priority="8">
      <formula>Q10&lt;0</formula>
    </cfRule>
  </conditionalFormatting>
  <conditionalFormatting sqref="J25:J38">
    <cfRule type="expression" dxfId="1619" priority="5">
      <formula>J25&gt;0</formula>
    </cfRule>
    <cfRule type="expression" dxfId="1618" priority="6">
      <formula>J25&lt;0</formula>
    </cfRule>
  </conditionalFormatting>
  <conditionalFormatting sqref="K25:K38">
    <cfRule type="expression" dxfId="1617" priority="3">
      <formula>K25&gt;0</formula>
    </cfRule>
    <cfRule type="expression" dxfId="1616" priority="4">
      <formula>K25&lt;0</formula>
    </cfRule>
  </conditionalFormatting>
  <conditionalFormatting sqref="L25:L38">
    <cfRule type="expression" dxfId="1615" priority="1">
      <formula>L25&gt;0</formula>
    </cfRule>
    <cfRule type="expression" dxfId="161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777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664.72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664.72</v>
      </c>
      <c r="R4" s="508">
        <v>1.5699999999999999E-2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731.19200000000012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724.54480000000012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717.89760000000012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711.25040000000013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704.60320000000002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697.95600000000002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691.30880000000002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684.66160000000002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678.01440000000002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671.36720000000003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664.72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658.07280000000003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651.42560000000003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644.77840000000003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638.13120000000004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631.48400000000004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624.83680000000004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618.18960000000004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611.54240000000004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604.89520000000005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598.24800000000005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6" t="s">
        <v>777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2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AD69" s="2"/>
      <c r="AE69" s="134"/>
    </row>
    <row r="70" spans="1:31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31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31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31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31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31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31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31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31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31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31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8</v>
      </c>
      <c r="D84" s="531"/>
      <c r="E84" s="531"/>
      <c r="F84" s="531">
        <f>SUM(F68:F72)</f>
        <v>4304</v>
      </c>
      <c r="G84" s="530"/>
      <c r="H84" s="552">
        <f>SUM(H68:H71)</f>
        <v>8</v>
      </c>
      <c r="I84" s="531"/>
      <c r="J84" s="531"/>
      <c r="K84" s="531">
        <f>SUM(K68:K71)</f>
        <v>4863.8900000000003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13" priority="21">
      <formula>F47&gt;0</formula>
    </cfRule>
    <cfRule type="expression" dxfId="1612" priority="22">
      <formula>F47&lt;0</formula>
    </cfRule>
  </conditionalFormatting>
  <conditionalFormatting sqref="Q7">
    <cfRule type="expression" dxfId="1611" priority="19">
      <formula>Q7&gt;0</formula>
    </cfRule>
    <cfRule type="expression" dxfId="1610" priority="20">
      <formula>Q7&lt;0</formula>
    </cfRule>
  </conditionalFormatting>
  <conditionalFormatting sqref="Q8">
    <cfRule type="expression" dxfId="1609" priority="17">
      <formula>Q8&gt;0</formula>
    </cfRule>
    <cfRule type="expression" dxfId="1608" priority="18">
      <formula>Q8&lt;0</formula>
    </cfRule>
  </conditionalFormatting>
  <conditionalFormatting sqref="F25:F46">
    <cfRule type="expression" dxfId="1607" priority="15">
      <formula>F25&gt;0</formula>
    </cfRule>
    <cfRule type="expression" dxfId="1606" priority="16">
      <formula>F25&lt;0</formula>
    </cfRule>
  </conditionalFormatting>
  <conditionalFormatting sqref="H25:H46">
    <cfRule type="expression" dxfId="1605" priority="13">
      <formula>H25&gt;0</formula>
    </cfRule>
    <cfRule type="expression" dxfId="1604" priority="14">
      <formula>H25&lt;0</formula>
    </cfRule>
  </conditionalFormatting>
  <conditionalFormatting sqref="F89:F110">
    <cfRule type="expression" dxfId="1603" priority="11">
      <formula>F89&gt;0</formula>
    </cfRule>
    <cfRule type="expression" dxfId="1602" priority="12">
      <formula>F89&lt;0</formula>
    </cfRule>
  </conditionalFormatting>
  <conditionalFormatting sqref="H89:H110">
    <cfRule type="expression" dxfId="1601" priority="9">
      <formula>H89&gt;0</formula>
    </cfRule>
    <cfRule type="expression" dxfId="1600" priority="10">
      <formula>H89&lt;0</formula>
    </cfRule>
  </conditionalFormatting>
  <conditionalFormatting sqref="Q10">
    <cfRule type="expression" dxfId="1599" priority="7">
      <formula>Q10&gt;0</formula>
    </cfRule>
    <cfRule type="expression" dxfId="1598" priority="8">
      <formula>Q10&lt;0</formula>
    </cfRule>
  </conditionalFormatting>
  <conditionalFormatting sqref="J25:J38">
    <cfRule type="expression" dxfId="1597" priority="5">
      <formula>J25&gt;0</formula>
    </cfRule>
    <cfRule type="expression" dxfId="1596" priority="6">
      <formula>J25&lt;0</formula>
    </cfRule>
  </conditionalFormatting>
  <conditionalFormatting sqref="K25:K38">
    <cfRule type="expression" dxfId="1595" priority="3">
      <formula>K25&gt;0</formula>
    </cfRule>
    <cfRule type="expression" dxfId="1594" priority="4">
      <formula>K25&lt;0</formula>
    </cfRule>
  </conditionalFormatting>
  <conditionalFormatting sqref="L25:L38">
    <cfRule type="expression" dxfId="1593" priority="1">
      <formula>L25&gt;0</formula>
    </cfRule>
    <cfRule type="expression" dxfId="15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6" activePane="bottomLeft" state="frozen"/>
      <selection activeCell="A2" sqref="A2"/>
      <selection pane="bottomLeft" activeCell="P56" sqref="P56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997</v>
      </c>
      <c r="B2" s="485">
        <v>43151</v>
      </c>
      <c r="C2" s="4">
        <v>50</v>
      </c>
      <c r="D2" s="3">
        <v>68.22</v>
      </c>
      <c r="E2" s="3">
        <v>0</v>
      </c>
      <c r="F2" s="3">
        <f t="shared" ref="F2" si="0">C2*D2+E2</f>
        <v>3411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68.22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67.05</v>
      </c>
      <c r="R4" s="508">
        <v>-1.21E-2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3352.5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3411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-58.5</v>
      </c>
      <c r="R7" s="29">
        <v>43182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-58.5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-1.7150395778364115E-2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3411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6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73.75500000000001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73.084500000000006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72.414000000000001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71.743499999999997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71.073000000000008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70.402500000000003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69.731999999999999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69.061499999999995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68.391000000000005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67.720500000000001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67.05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66.379499999999993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65.708999999999989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65.038499999999999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64.367999999999995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63.697499999999991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63.026999999999994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62.356500000000004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61.686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61.015500000000003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60.344999999999999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997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91" priority="31">
      <formula>F47&gt;0</formula>
    </cfRule>
    <cfRule type="expression" dxfId="1590" priority="32">
      <formula>F47&lt;0</formula>
    </cfRule>
  </conditionalFormatting>
  <conditionalFormatting sqref="Q7">
    <cfRule type="expression" dxfId="1589" priority="29">
      <formula>Q7&gt;0</formula>
    </cfRule>
    <cfRule type="expression" dxfId="1588" priority="30">
      <formula>Q7&lt;0</formula>
    </cfRule>
  </conditionalFormatting>
  <conditionalFormatting sqref="Q8">
    <cfRule type="expression" dxfId="1587" priority="27">
      <formula>Q8&gt;0</formula>
    </cfRule>
    <cfRule type="expression" dxfId="1586" priority="28">
      <formula>Q8&lt;0</formula>
    </cfRule>
  </conditionalFormatting>
  <conditionalFormatting sqref="F30:F46">
    <cfRule type="expression" dxfId="1585" priority="25">
      <formula>F30&gt;0</formula>
    </cfRule>
    <cfRule type="expression" dxfId="1584" priority="26">
      <formula>F30&lt;0</formula>
    </cfRule>
  </conditionalFormatting>
  <conditionalFormatting sqref="H30:H46">
    <cfRule type="expression" dxfId="1583" priority="23">
      <formula>H30&gt;0</formula>
    </cfRule>
    <cfRule type="expression" dxfId="1582" priority="24">
      <formula>H30&lt;0</formula>
    </cfRule>
  </conditionalFormatting>
  <conditionalFormatting sqref="Q10">
    <cfRule type="expression" dxfId="1581" priority="21">
      <formula>Q10&gt;0</formula>
    </cfRule>
    <cfRule type="expression" dxfId="1580" priority="22">
      <formula>Q10&lt;0</formula>
    </cfRule>
  </conditionalFormatting>
  <conditionalFormatting sqref="J25:J38">
    <cfRule type="expression" dxfId="1579" priority="19">
      <formula>J25&gt;0</formula>
    </cfRule>
    <cfRule type="expression" dxfId="1578" priority="20">
      <formula>J25&lt;0</formula>
    </cfRule>
  </conditionalFormatting>
  <conditionalFormatting sqref="K25:K38">
    <cfRule type="expression" dxfId="1577" priority="17">
      <formula>K25&gt;0</formula>
    </cfRule>
    <cfRule type="expression" dxfId="1576" priority="18">
      <formula>K25&lt;0</formula>
    </cfRule>
  </conditionalFormatting>
  <conditionalFormatting sqref="L25:L38">
    <cfRule type="expression" dxfId="1575" priority="15">
      <formula>L25&gt;0</formula>
    </cfRule>
    <cfRule type="expression" dxfId="1574" priority="16">
      <formula>L25&lt;0</formula>
    </cfRule>
  </conditionalFormatting>
  <conditionalFormatting sqref="F89:F110">
    <cfRule type="expression" dxfId="1573" priority="13">
      <formula>F89&gt;0</formula>
    </cfRule>
    <cfRule type="expression" dxfId="1572" priority="14">
      <formula>F89&lt;0</formula>
    </cfRule>
  </conditionalFormatting>
  <conditionalFormatting sqref="H89:H110">
    <cfRule type="expression" dxfId="1571" priority="11">
      <formula>H89&gt;0</formula>
    </cfRule>
    <cfRule type="expression" dxfId="1570" priority="12">
      <formula>H89&lt;0</formula>
    </cfRule>
  </conditionalFormatting>
  <conditionalFormatting sqref="J89:J102">
    <cfRule type="expression" dxfId="1569" priority="9">
      <formula>J89&gt;0</formula>
    </cfRule>
    <cfRule type="expression" dxfId="1568" priority="10">
      <formula>J89&lt;0</formula>
    </cfRule>
  </conditionalFormatting>
  <conditionalFormatting sqref="K89:K102">
    <cfRule type="expression" dxfId="1567" priority="7">
      <formula>K89&gt;0</formula>
    </cfRule>
    <cfRule type="expression" dxfId="1566" priority="8">
      <formula>K89&lt;0</formula>
    </cfRule>
  </conditionalFormatting>
  <conditionalFormatting sqref="L89:L102">
    <cfRule type="expression" dxfId="1565" priority="5">
      <formula>L89&gt;0</formula>
    </cfRule>
    <cfRule type="expression" dxfId="1564" priority="6">
      <formula>L89&lt;0</formula>
    </cfRule>
  </conditionalFormatting>
  <conditionalFormatting sqref="F25:F29">
    <cfRule type="expression" dxfId="1563" priority="3">
      <formula>F25&gt;0</formula>
    </cfRule>
    <cfRule type="expression" dxfId="1562" priority="4">
      <formula>F25&lt;0</formula>
    </cfRule>
  </conditionalFormatting>
  <conditionalFormatting sqref="H25:H29">
    <cfRule type="expression" dxfId="1561" priority="1">
      <formula>H25&gt;0</formula>
    </cfRule>
    <cfRule type="expression" dxfId="15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976</v>
      </c>
      <c r="B2" s="485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981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30.41</v>
      </c>
      <c r="R4" s="508">
        <v>-1.2999999999999999E-3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6082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-34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-34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-5.5591890124264227E-3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33.451000000000001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33.146900000000002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32.842800000000004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32.538699999999999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32.2346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31.930500000000002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31.6264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31.322300000000002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31.0182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30.714100000000002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30.41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30.105899999999998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29.8018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29.497699999999998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29.1936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28.889499999999998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28.5854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28.281300000000002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27.9772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27.673100000000002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27.369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976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9" priority="31">
      <formula>F47&gt;0</formula>
    </cfRule>
    <cfRule type="expression" dxfId="1558" priority="32">
      <formula>F47&lt;0</formula>
    </cfRule>
  </conditionalFormatting>
  <conditionalFormatting sqref="Q7">
    <cfRule type="expression" dxfId="1557" priority="29">
      <formula>Q7&gt;0</formula>
    </cfRule>
    <cfRule type="expression" dxfId="1556" priority="30">
      <formula>Q7&lt;0</formula>
    </cfRule>
  </conditionalFormatting>
  <conditionalFormatting sqref="Q8">
    <cfRule type="expression" dxfId="1555" priority="27">
      <formula>Q8&gt;0</formula>
    </cfRule>
    <cfRule type="expression" dxfId="1554" priority="28">
      <formula>Q8&lt;0</formula>
    </cfRule>
  </conditionalFormatting>
  <conditionalFormatting sqref="F30:F46">
    <cfRule type="expression" dxfId="1553" priority="25">
      <formula>F30&gt;0</formula>
    </cfRule>
    <cfRule type="expression" dxfId="1552" priority="26">
      <formula>F30&lt;0</formula>
    </cfRule>
  </conditionalFormatting>
  <conditionalFormatting sqref="H30:H46">
    <cfRule type="expression" dxfId="1551" priority="23">
      <formula>H30&gt;0</formula>
    </cfRule>
    <cfRule type="expression" dxfId="1550" priority="24">
      <formula>H30&lt;0</formula>
    </cfRule>
  </conditionalFormatting>
  <conditionalFormatting sqref="Q10">
    <cfRule type="expression" dxfId="1549" priority="21">
      <formula>Q10&gt;0</formula>
    </cfRule>
    <cfRule type="expression" dxfId="1548" priority="22">
      <formula>Q10&lt;0</formula>
    </cfRule>
  </conditionalFormatting>
  <conditionalFormatting sqref="J25:J38">
    <cfRule type="expression" dxfId="1547" priority="19">
      <formula>J25&gt;0</formula>
    </cfRule>
    <cfRule type="expression" dxfId="1546" priority="20">
      <formula>J25&lt;0</formula>
    </cfRule>
  </conditionalFormatting>
  <conditionalFormatting sqref="K25:K38">
    <cfRule type="expression" dxfId="1545" priority="17">
      <formula>K25&gt;0</formula>
    </cfRule>
    <cfRule type="expression" dxfId="1544" priority="18">
      <formula>K25&lt;0</formula>
    </cfRule>
  </conditionalFormatting>
  <conditionalFormatting sqref="L25:L38">
    <cfRule type="expression" dxfId="1543" priority="15">
      <formula>L25&gt;0</formula>
    </cfRule>
    <cfRule type="expression" dxfId="1542" priority="16">
      <formula>L25&lt;0</formula>
    </cfRule>
  </conditionalFormatting>
  <conditionalFormatting sqref="F89:F110">
    <cfRule type="expression" dxfId="1541" priority="13">
      <formula>F89&gt;0</formula>
    </cfRule>
    <cfRule type="expression" dxfId="1540" priority="14">
      <formula>F89&lt;0</formula>
    </cfRule>
  </conditionalFormatting>
  <conditionalFormatting sqref="H89:H110">
    <cfRule type="expression" dxfId="1539" priority="11">
      <formula>H89&gt;0</formula>
    </cfRule>
    <cfRule type="expression" dxfId="1538" priority="12">
      <formula>H89&lt;0</formula>
    </cfRule>
  </conditionalFormatting>
  <conditionalFormatting sqref="J89:J102">
    <cfRule type="expression" dxfId="1537" priority="9">
      <formula>J89&gt;0</formula>
    </cfRule>
    <cfRule type="expression" dxfId="1536" priority="10">
      <formula>J89&lt;0</formula>
    </cfRule>
  </conditionalFormatting>
  <conditionalFormatting sqref="K89:K102">
    <cfRule type="expression" dxfId="1535" priority="7">
      <formula>K89&gt;0</formula>
    </cfRule>
    <cfRule type="expression" dxfId="1534" priority="8">
      <formula>K89&lt;0</formula>
    </cfRule>
  </conditionalFormatting>
  <conditionalFormatting sqref="L89:L102">
    <cfRule type="expression" dxfId="1533" priority="5">
      <formula>L89&gt;0</formula>
    </cfRule>
    <cfRule type="expression" dxfId="1532" priority="6">
      <formula>L89&lt;0</formula>
    </cfRule>
  </conditionalFormatting>
  <conditionalFormatting sqref="F25:F29">
    <cfRule type="expression" dxfId="1531" priority="3">
      <formula>F25&gt;0</formula>
    </cfRule>
    <cfRule type="expression" dxfId="1530" priority="4">
      <formula>F25&lt;0</formula>
    </cfRule>
  </conditionalFormatting>
  <conditionalFormatting sqref="H25:H29">
    <cfRule type="expression" dxfId="1529" priority="1">
      <formula>H25&gt;0</formula>
    </cfRule>
    <cfRule type="expression" dxfId="152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973</v>
      </c>
      <c r="B2" s="485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142.58000000000001</v>
      </c>
      <c r="R4" s="508">
        <v>-2.0400000000000001E-2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2851.6000000000004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-148.39999999999964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-148.39999999999964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-4.9466666666666548E-2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0" t="s">
        <v>78</v>
      </c>
      <c r="P18" s="800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156.83800000000002</v>
      </c>
    </row>
    <row r="20" spans="1:16" x14ac:dyDescent="0.25">
      <c r="O20" s="81">
        <v>1.0900000000000001</v>
      </c>
      <c r="P20" s="81">
        <f t="shared" ref="P20:P39" si="1">O20*$Q$4</f>
        <v>155.41220000000001</v>
      </c>
    </row>
    <row r="21" spans="1:16" x14ac:dyDescent="0.25">
      <c r="O21" s="81">
        <v>1.08</v>
      </c>
      <c r="P21" s="81">
        <f t="shared" si="1"/>
        <v>153.98640000000003</v>
      </c>
    </row>
    <row r="22" spans="1:16" x14ac:dyDescent="0.25">
      <c r="O22" s="81">
        <v>1.07</v>
      </c>
      <c r="P22" s="81">
        <f t="shared" si="1"/>
        <v>152.56060000000002</v>
      </c>
    </row>
    <row r="23" spans="1:16" x14ac:dyDescent="0.25">
      <c r="O23" s="81">
        <v>1.06</v>
      </c>
      <c r="P23" s="81">
        <f t="shared" si="1"/>
        <v>151.13480000000001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1.05</v>
      </c>
      <c r="P24" s="81">
        <f t="shared" si="1"/>
        <v>149.70900000000003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148.28320000000002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146.85740000000001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145.4316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144.00580000000002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142.58000000000001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141.1542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139.72840000000002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138.30260000000001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136.8768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135.45099999999999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134.02520000000001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132.59940000000003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131.17360000000002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129.74780000000001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128.322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973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7" priority="31">
      <formula>F47&gt;0</formula>
    </cfRule>
    <cfRule type="expression" dxfId="1526" priority="32">
      <formula>F47&lt;0</formula>
    </cfRule>
  </conditionalFormatting>
  <conditionalFormatting sqref="Q7">
    <cfRule type="expression" dxfId="1525" priority="29">
      <formula>Q7&gt;0</formula>
    </cfRule>
    <cfRule type="expression" dxfId="1524" priority="30">
      <formula>Q7&lt;0</formula>
    </cfRule>
  </conditionalFormatting>
  <conditionalFormatting sqref="Q8">
    <cfRule type="expression" dxfId="1523" priority="27">
      <formula>Q8&gt;0</formula>
    </cfRule>
    <cfRule type="expression" dxfId="1522" priority="28">
      <formula>Q8&lt;0</formula>
    </cfRule>
  </conditionalFormatting>
  <conditionalFormatting sqref="F30:F46">
    <cfRule type="expression" dxfId="1521" priority="25">
      <formula>F30&gt;0</formula>
    </cfRule>
    <cfRule type="expression" dxfId="1520" priority="26">
      <formula>F30&lt;0</formula>
    </cfRule>
  </conditionalFormatting>
  <conditionalFormatting sqref="H30:H46">
    <cfRule type="expression" dxfId="1519" priority="23">
      <formula>H30&gt;0</formula>
    </cfRule>
    <cfRule type="expression" dxfId="1518" priority="24">
      <formula>H30&lt;0</formula>
    </cfRule>
  </conditionalFormatting>
  <conditionalFormatting sqref="Q10">
    <cfRule type="expression" dxfId="1517" priority="21">
      <formula>Q10&gt;0</formula>
    </cfRule>
    <cfRule type="expression" dxfId="1516" priority="22">
      <formula>Q10&lt;0</formula>
    </cfRule>
  </conditionalFormatting>
  <conditionalFormatting sqref="J25:J38">
    <cfRule type="expression" dxfId="1515" priority="19">
      <formula>J25&gt;0</formula>
    </cfRule>
    <cfRule type="expression" dxfId="1514" priority="20">
      <formula>J25&lt;0</formula>
    </cfRule>
  </conditionalFormatting>
  <conditionalFormatting sqref="K25:K38">
    <cfRule type="expression" dxfId="1513" priority="17">
      <formula>K25&gt;0</formula>
    </cfRule>
    <cfRule type="expression" dxfId="1512" priority="18">
      <formula>K25&lt;0</formula>
    </cfRule>
  </conditionalFormatting>
  <conditionalFormatting sqref="L25:L38">
    <cfRule type="expression" dxfId="1511" priority="15">
      <formula>L25&gt;0</formula>
    </cfRule>
    <cfRule type="expression" dxfId="1510" priority="16">
      <formula>L25&lt;0</formula>
    </cfRule>
  </conditionalFormatting>
  <conditionalFormatting sqref="F89:F110">
    <cfRule type="expression" dxfId="1509" priority="13">
      <formula>F89&gt;0</formula>
    </cfRule>
    <cfRule type="expression" dxfId="1508" priority="14">
      <formula>F89&lt;0</formula>
    </cfRule>
  </conditionalFormatting>
  <conditionalFormatting sqref="H89:H110">
    <cfRule type="expression" dxfId="1507" priority="11">
      <formula>H89&gt;0</formula>
    </cfRule>
    <cfRule type="expression" dxfId="1506" priority="12">
      <formula>H89&lt;0</formula>
    </cfRule>
  </conditionalFormatting>
  <conditionalFormatting sqref="J89:J102">
    <cfRule type="expression" dxfId="1505" priority="9">
      <formula>J89&gt;0</formula>
    </cfRule>
    <cfRule type="expression" dxfId="1504" priority="10">
      <formula>J89&lt;0</formula>
    </cfRule>
  </conditionalFormatting>
  <conditionalFormatting sqref="K89:K102">
    <cfRule type="expression" dxfId="1503" priority="7">
      <formula>K89&gt;0</formula>
    </cfRule>
    <cfRule type="expression" dxfId="1502" priority="8">
      <formula>K89&lt;0</formula>
    </cfRule>
  </conditionalFormatting>
  <conditionalFormatting sqref="L89:L102">
    <cfRule type="expression" dxfId="1501" priority="5">
      <formula>L89&gt;0</formula>
    </cfRule>
    <cfRule type="expression" dxfId="1500" priority="6">
      <formula>L89&lt;0</formula>
    </cfRule>
  </conditionalFormatting>
  <conditionalFormatting sqref="F25:F29">
    <cfRule type="expression" dxfId="1499" priority="3">
      <formula>F25&gt;0</formula>
    </cfRule>
    <cfRule type="expression" dxfId="1498" priority="4">
      <formula>F25&lt;0</formula>
    </cfRule>
  </conditionalFormatting>
  <conditionalFormatting sqref="H25:H29">
    <cfRule type="expression" dxfId="1497" priority="1">
      <formula>H25&gt;0</formula>
    </cfRule>
    <cfRule type="expression" dxfId="149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972</v>
      </c>
      <c r="B2" s="444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4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/>
    </row>
    <row r="3" spans="1:21" x14ac:dyDescent="0.25">
      <c r="A3" s="22" t="s">
        <v>71</v>
      </c>
      <c r="B3" s="485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5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250.2</v>
      </c>
      <c r="R4" s="508">
        <v>-1.4800000000000001E-2</v>
      </c>
      <c r="T4" s="791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11259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409.86999999999898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409.86999999999898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3.7779066155534953E-2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15</v>
      </c>
      <c r="D19" s="349"/>
      <c r="E19" s="349"/>
      <c r="F19" s="350">
        <f>SumByColor($A$19,F2:F17)</f>
        <v>3602</v>
      </c>
      <c r="G19" s="349"/>
      <c r="H19" s="349">
        <f>SumByColor($A$19,H2:H17)</f>
        <v>15</v>
      </c>
      <c r="I19" s="349"/>
      <c r="J19" s="349"/>
      <c r="K19" s="350">
        <f>SumByColor($A$19,K2:K17)</f>
        <v>3628</v>
      </c>
      <c r="L19" s="349"/>
      <c r="M19" s="350">
        <f>SumByColor($A$19,M2:M17)</f>
        <v>0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275.22000000000003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272.71800000000002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270.21600000000001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267.714</v>
      </c>
      <c r="Q26" s="2"/>
    </row>
    <row r="27" spans="1:17" x14ac:dyDescent="0.25">
      <c r="B27" s="188">
        <v>43140</v>
      </c>
      <c r="C27" s="7">
        <v>60</v>
      </c>
      <c r="D27" s="43">
        <v>241.29</v>
      </c>
      <c r="E27" s="39">
        <v>242.03</v>
      </c>
      <c r="F27" s="39">
        <f t="shared" ref="F27:F28" si="8">C27*(E27-D27)</f>
        <v>44.400000000000546</v>
      </c>
      <c r="G27" s="39">
        <f t="shared" ref="G27:G28" si="9">D27*C27</f>
        <v>14477.4</v>
      </c>
      <c r="H27" s="226">
        <f t="shared" ref="H27:H28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265.21199999999999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262.70999999999998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260.20799999999997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257.70600000000002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255.20399999999998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252.702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250.2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247.69799999999998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245.196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242.69399999999999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240.19199999999998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237.68999999999997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235.18799999999999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232.68600000000001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230.184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227.68199999999999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225.18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972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5" priority="31">
      <formula>F47&gt;0</formula>
    </cfRule>
    <cfRule type="expression" dxfId="1494" priority="32">
      <formula>F47&lt;0</formula>
    </cfRule>
  </conditionalFormatting>
  <conditionalFormatting sqref="Q7">
    <cfRule type="expression" dxfId="1493" priority="29">
      <formula>Q7&gt;0</formula>
    </cfRule>
    <cfRule type="expression" dxfId="1492" priority="30">
      <formula>Q7&lt;0</formula>
    </cfRule>
  </conditionalFormatting>
  <conditionalFormatting sqref="Q8">
    <cfRule type="expression" dxfId="1491" priority="27">
      <formula>Q8&gt;0</formula>
    </cfRule>
    <cfRule type="expression" dxfId="1490" priority="28">
      <formula>Q8&lt;0</formula>
    </cfRule>
  </conditionalFormatting>
  <conditionalFormatting sqref="F30:F46">
    <cfRule type="expression" dxfId="1489" priority="25">
      <formula>F30&gt;0</formula>
    </cfRule>
    <cfRule type="expression" dxfId="1488" priority="26">
      <formula>F30&lt;0</formula>
    </cfRule>
  </conditionalFormatting>
  <conditionalFormatting sqref="H30:H46">
    <cfRule type="expression" dxfId="1487" priority="23">
      <formula>H30&gt;0</formula>
    </cfRule>
    <cfRule type="expression" dxfId="1486" priority="24">
      <formula>H30&lt;0</formula>
    </cfRule>
  </conditionalFormatting>
  <conditionalFormatting sqref="Q10">
    <cfRule type="expression" dxfId="1485" priority="21">
      <formula>Q10&gt;0</formula>
    </cfRule>
    <cfRule type="expression" dxfId="1484" priority="22">
      <formula>Q10&lt;0</formula>
    </cfRule>
  </conditionalFormatting>
  <conditionalFormatting sqref="J25:J38">
    <cfRule type="expression" dxfId="1483" priority="19">
      <formula>J25&gt;0</formula>
    </cfRule>
    <cfRule type="expression" dxfId="1482" priority="20">
      <formula>J25&lt;0</formula>
    </cfRule>
  </conditionalFormatting>
  <conditionalFormatting sqref="K25:K38">
    <cfRule type="expression" dxfId="1481" priority="17">
      <formula>K25&gt;0</formula>
    </cfRule>
    <cfRule type="expression" dxfId="1480" priority="18">
      <formula>K25&lt;0</formula>
    </cfRule>
  </conditionalFormatting>
  <conditionalFormatting sqref="L25:L38">
    <cfRule type="expression" dxfId="1479" priority="15">
      <formula>L25&gt;0</formula>
    </cfRule>
    <cfRule type="expression" dxfId="1478" priority="16">
      <formula>L25&lt;0</formula>
    </cfRule>
  </conditionalFormatting>
  <conditionalFormatting sqref="F89:F110">
    <cfRule type="expression" dxfId="1477" priority="13">
      <formula>F89&gt;0</formula>
    </cfRule>
    <cfRule type="expression" dxfId="1476" priority="14">
      <formula>F89&lt;0</formula>
    </cfRule>
  </conditionalFormatting>
  <conditionalFormatting sqref="H89:H110">
    <cfRule type="expression" dxfId="1475" priority="11">
      <formula>H89&gt;0</formula>
    </cfRule>
    <cfRule type="expression" dxfId="1474" priority="12">
      <formula>H89&lt;0</formula>
    </cfRule>
  </conditionalFormatting>
  <conditionalFormatting sqref="J89:J102">
    <cfRule type="expression" dxfId="1473" priority="9">
      <formula>J89&gt;0</formula>
    </cfRule>
    <cfRule type="expression" dxfId="1472" priority="10">
      <formula>J89&lt;0</formula>
    </cfRule>
  </conditionalFormatting>
  <conditionalFormatting sqref="K89:K102">
    <cfRule type="expression" dxfId="1471" priority="7">
      <formula>K89&gt;0</formula>
    </cfRule>
    <cfRule type="expression" dxfId="1470" priority="8">
      <formula>K89&lt;0</formula>
    </cfRule>
  </conditionalFormatting>
  <conditionalFormatting sqref="L89:L102">
    <cfRule type="expression" dxfId="1469" priority="5">
      <formula>L89&gt;0</formula>
    </cfRule>
    <cfRule type="expression" dxfId="1468" priority="6">
      <formula>L89&lt;0</formula>
    </cfRule>
  </conditionalFormatting>
  <conditionalFormatting sqref="F25:F29">
    <cfRule type="expression" dxfId="1467" priority="3">
      <formula>F25&gt;0</formula>
    </cfRule>
    <cfRule type="expression" dxfId="1466" priority="4">
      <formula>F25&lt;0</formula>
    </cfRule>
  </conditionalFormatting>
  <conditionalFormatting sqref="H25:H29">
    <cfRule type="expression" dxfId="1465" priority="1">
      <formula>H25&gt;0</formula>
    </cfRule>
    <cfRule type="expression" dxfId="146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977</v>
      </c>
      <c r="B2" s="485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865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73.08</v>
      </c>
      <c r="R4" s="508">
        <v>-4.7999999999999996E-3</v>
      </c>
      <c r="T4" s="791">
        <v>43103</v>
      </c>
      <c r="U4" s="30" t="s">
        <v>890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2923.2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220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220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8.1385025155371424E-2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80.388000000000005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708</v>
      </c>
      <c r="L24" s="224" t="s">
        <v>714</v>
      </c>
      <c r="O24" s="81">
        <v>1.0900000000000001</v>
      </c>
      <c r="P24" s="81">
        <f t="shared" ref="P24:P43" si="1">O24*$Q$4</f>
        <v>79.657200000000003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78.926400000000001</v>
      </c>
      <c r="Q25" s="2"/>
    </row>
    <row r="26" spans="1:17" x14ac:dyDescent="0.25">
      <c r="B26" s="188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6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78.195599999999999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77.464799999999997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76.733999999999995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76.003200000000007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75.272400000000005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74.541600000000003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73.8108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73.08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72.349199999999996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71.618399999999994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70.887599999999992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70.15679999999999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69.426000000000002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68.6952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67.964399999999998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67.233599999999996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66.502800000000008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65.772000000000006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7"/>
      <c r="B66" s="577"/>
      <c r="C66" s="577"/>
      <c r="D66" s="578"/>
      <c r="E66" s="578"/>
      <c r="F66" s="578"/>
      <c r="G66" s="577"/>
      <c r="H66" s="577"/>
      <c r="I66" s="578"/>
      <c r="J66" s="578"/>
      <c r="K66" s="578"/>
      <c r="L66" s="577" t="s">
        <v>65</v>
      </c>
      <c r="M66" s="578">
        <f>M84+K84-F84</f>
        <v>0</v>
      </c>
    </row>
    <row r="67" spans="1:13" x14ac:dyDescent="0.25">
      <c r="A67" s="700" t="s">
        <v>1</v>
      </c>
      <c r="B67" s="700" t="s">
        <v>2</v>
      </c>
      <c r="C67" s="700" t="s">
        <v>4</v>
      </c>
      <c r="D67" s="701" t="s">
        <v>5</v>
      </c>
      <c r="E67" s="701" t="s">
        <v>94</v>
      </c>
      <c r="F67" s="701" t="s">
        <v>60</v>
      </c>
      <c r="G67" s="700" t="s">
        <v>3</v>
      </c>
      <c r="H67" s="700" t="s">
        <v>6</v>
      </c>
      <c r="I67" s="701" t="s">
        <v>7</v>
      </c>
      <c r="J67" s="701" t="s">
        <v>95</v>
      </c>
      <c r="K67" s="701" t="s">
        <v>61</v>
      </c>
      <c r="L67" s="700" t="s">
        <v>37</v>
      </c>
      <c r="M67" s="700" t="s">
        <v>38</v>
      </c>
    </row>
    <row r="68" spans="1:13" x14ac:dyDescent="0.25">
      <c r="A68" s="702" t="s">
        <v>977</v>
      </c>
      <c r="B68" s="580"/>
      <c r="C68" s="577"/>
      <c r="D68" s="578"/>
      <c r="E68" s="578"/>
      <c r="F68" s="578"/>
      <c r="G68" s="580"/>
      <c r="H68" s="577"/>
      <c r="I68" s="578"/>
      <c r="J68" s="578"/>
      <c r="K68" s="578"/>
      <c r="L68" s="580"/>
      <c r="M68" s="578"/>
    </row>
    <row r="69" spans="1:13" x14ac:dyDescent="0.25">
      <c r="A69" s="703"/>
      <c r="B69" s="580"/>
      <c r="C69" s="577"/>
      <c r="D69" s="578"/>
      <c r="E69" s="578"/>
      <c r="F69" s="578"/>
      <c r="G69" s="580"/>
      <c r="H69" s="579"/>
      <c r="I69" s="578"/>
      <c r="J69" s="578"/>
      <c r="K69" s="578"/>
      <c r="L69" s="577"/>
      <c r="M69" s="577"/>
    </row>
    <row r="70" spans="1:13" x14ac:dyDescent="0.25">
      <c r="A70" s="577"/>
      <c r="B70" s="580"/>
      <c r="C70" s="577"/>
      <c r="D70" s="578"/>
      <c r="E70" s="578"/>
      <c r="F70" s="578"/>
      <c r="G70" s="580"/>
      <c r="H70" s="579"/>
      <c r="I70" s="578"/>
      <c r="J70" s="578"/>
      <c r="K70" s="578"/>
      <c r="L70" s="577"/>
      <c r="M70" s="577"/>
    </row>
    <row r="71" spans="1:13" x14ac:dyDescent="0.25">
      <c r="A71" s="577"/>
      <c r="B71" s="580"/>
      <c r="C71" s="577"/>
      <c r="D71" s="578"/>
      <c r="E71" s="578"/>
      <c r="F71" s="578"/>
      <c r="G71" s="577"/>
      <c r="H71" s="579"/>
      <c r="I71" s="578"/>
      <c r="J71" s="578"/>
      <c r="K71" s="578"/>
      <c r="L71" s="577"/>
      <c r="M71" s="577"/>
    </row>
    <row r="72" spans="1:13" x14ac:dyDescent="0.25">
      <c r="A72" s="577"/>
      <c r="B72" s="580"/>
      <c r="C72" s="577"/>
      <c r="D72" s="578"/>
      <c r="E72" s="578"/>
      <c r="F72" s="578"/>
      <c r="G72" s="577"/>
      <c r="H72" s="579"/>
      <c r="I72" s="578"/>
      <c r="J72" s="578"/>
      <c r="K72" s="578"/>
      <c r="L72" s="577"/>
      <c r="M72" s="577"/>
    </row>
    <row r="73" spans="1:13" x14ac:dyDescent="0.25">
      <c r="A73" s="577"/>
      <c r="B73" s="577"/>
      <c r="C73" s="577"/>
      <c r="D73" s="578"/>
      <c r="E73" s="578"/>
      <c r="F73" s="578"/>
      <c r="G73" s="577"/>
      <c r="H73" s="579"/>
      <c r="I73" s="578"/>
      <c r="J73" s="578"/>
      <c r="K73" s="578"/>
      <c r="L73" s="577"/>
      <c r="M73" s="577"/>
    </row>
    <row r="74" spans="1:13" x14ac:dyDescent="0.25">
      <c r="A74" s="577"/>
      <c r="B74" s="577"/>
      <c r="C74" s="577"/>
      <c r="D74" s="578"/>
      <c r="E74" s="578"/>
      <c r="F74" s="578"/>
      <c r="G74" s="577"/>
      <c r="H74" s="579"/>
      <c r="I74" s="578"/>
      <c r="J74" s="578"/>
      <c r="K74" s="578"/>
      <c r="L74" s="577"/>
      <c r="M74" s="577"/>
    </row>
    <row r="75" spans="1:13" x14ac:dyDescent="0.25">
      <c r="A75" s="577"/>
      <c r="B75" s="577"/>
      <c r="C75" s="577"/>
      <c r="D75" s="578"/>
      <c r="E75" s="578"/>
      <c r="F75" s="578"/>
      <c r="G75" s="577"/>
      <c r="H75" s="579"/>
      <c r="I75" s="578"/>
      <c r="J75" s="578"/>
      <c r="K75" s="578"/>
      <c r="L75" s="577"/>
      <c r="M75" s="577"/>
    </row>
    <row r="76" spans="1:13" x14ac:dyDescent="0.25">
      <c r="A76" s="577"/>
      <c r="B76" s="577"/>
      <c r="C76" s="577"/>
      <c r="D76" s="578"/>
      <c r="E76" s="578"/>
      <c r="F76" s="578"/>
      <c r="G76" s="577"/>
      <c r="H76" s="579"/>
      <c r="I76" s="578"/>
      <c r="J76" s="578"/>
      <c r="K76" s="578"/>
      <c r="L76" s="577"/>
      <c r="M76" s="577"/>
    </row>
    <row r="77" spans="1:13" x14ac:dyDescent="0.25">
      <c r="A77" s="577"/>
      <c r="B77" s="577"/>
      <c r="C77" s="577"/>
      <c r="D77" s="578"/>
      <c r="E77" s="578"/>
      <c r="F77" s="578"/>
      <c r="G77" s="577"/>
      <c r="H77" s="579"/>
      <c r="I77" s="578"/>
      <c r="J77" s="578"/>
      <c r="K77" s="578"/>
      <c r="L77" s="577"/>
      <c r="M77" s="577"/>
    </row>
    <row r="78" spans="1:13" x14ac:dyDescent="0.25">
      <c r="A78" s="577"/>
      <c r="B78" s="577"/>
      <c r="C78" s="577"/>
      <c r="D78" s="578"/>
      <c r="E78" s="578"/>
      <c r="F78" s="578"/>
      <c r="G78" s="577"/>
      <c r="H78" s="579"/>
      <c r="I78" s="578"/>
      <c r="J78" s="578"/>
      <c r="K78" s="578"/>
      <c r="L78" s="577"/>
      <c r="M78" s="577"/>
    </row>
    <row r="79" spans="1:13" x14ac:dyDescent="0.25">
      <c r="A79" s="577"/>
      <c r="B79" s="577"/>
      <c r="C79" s="577"/>
      <c r="D79" s="578"/>
      <c r="E79" s="578"/>
      <c r="F79" s="578"/>
      <c r="G79" s="577"/>
      <c r="H79" s="579"/>
      <c r="I79" s="578"/>
      <c r="J79" s="578"/>
      <c r="K79" s="578"/>
      <c r="L79" s="577"/>
      <c r="M79" s="577"/>
    </row>
    <row r="80" spans="1:13" x14ac:dyDescent="0.25">
      <c r="A80" s="577"/>
      <c r="B80" s="577"/>
      <c r="C80" s="577"/>
      <c r="D80" s="578"/>
      <c r="E80" s="578"/>
      <c r="F80" s="578"/>
      <c r="G80" s="577"/>
      <c r="H80" s="579"/>
      <c r="I80" s="578"/>
      <c r="J80" s="578"/>
      <c r="K80" s="578"/>
      <c r="L80" s="577"/>
      <c r="M80" s="577"/>
    </row>
    <row r="81" spans="1:13" x14ac:dyDescent="0.25">
      <c r="A81" s="577"/>
      <c r="B81" s="577"/>
      <c r="C81" s="577"/>
      <c r="D81" s="578"/>
      <c r="E81" s="578"/>
      <c r="F81" s="578"/>
      <c r="G81" s="577"/>
      <c r="H81" s="579"/>
      <c r="I81" s="578"/>
      <c r="J81" s="578"/>
      <c r="K81" s="578"/>
      <c r="L81" s="577"/>
      <c r="M81" s="577"/>
    </row>
    <row r="82" spans="1:13" x14ac:dyDescent="0.25">
      <c r="A82" s="577"/>
      <c r="B82" s="577"/>
      <c r="C82" s="577"/>
      <c r="D82" s="578"/>
      <c r="E82" s="578"/>
      <c r="F82" s="578"/>
      <c r="G82" s="577"/>
      <c r="H82" s="579"/>
      <c r="I82" s="578"/>
      <c r="J82" s="578"/>
      <c r="K82" s="578"/>
      <c r="L82" s="577"/>
      <c r="M82" s="577"/>
    </row>
    <row r="83" spans="1:13" x14ac:dyDescent="0.25">
      <c r="A83" s="577"/>
      <c r="B83" s="577"/>
      <c r="C83" s="577"/>
      <c r="D83" s="578"/>
      <c r="E83" s="578"/>
      <c r="F83" s="578"/>
      <c r="G83" s="577"/>
      <c r="H83" s="577"/>
      <c r="I83" s="578"/>
      <c r="J83" s="578"/>
      <c r="K83" s="578"/>
      <c r="L83" s="577"/>
      <c r="M83" s="577"/>
    </row>
    <row r="84" spans="1:13" x14ac:dyDescent="0.25">
      <c r="A84" s="704" t="s">
        <v>81</v>
      </c>
      <c r="B84" s="705"/>
      <c r="C84" s="705">
        <f>SUM(C68:C72)</f>
        <v>0</v>
      </c>
      <c r="D84" s="706"/>
      <c r="E84" s="706"/>
      <c r="F84" s="706">
        <f>SUM(F68:F72)</f>
        <v>0</v>
      </c>
      <c r="G84" s="705"/>
      <c r="H84" s="707">
        <f>SUM(H68:H71)</f>
        <v>0</v>
      </c>
      <c r="I84" s="706"/>
      <c r="J84" s="706"/>
      <c r="K84" s="706">
        <f>SUM(K68:K71)</f>
        <v>0</v>
      </c>
      <c r="L84" s="705"/>
      <c r="M84" s="706">
        <f>SUM(M68:M76)</f>
        <v>0</v>
      </c>
    </row>
    <row r="85" spans="1:13" ht="15.75" thickBot="1" x14ac:dyDescent="0.3">
      <c r="A85" s="708" t="s">
        <v>194</v>
      </c>
      <c r="B85" s="741"/>
      <c r="C85" s="709">
        <f>SumByColor($A$19,C68:C83)</f>
        <v>0</v>
      </c>
      <c r="D85" s="709"/>
      <c r="E85" s="709"/>
      <c r="F85" s="710">
        <f>SumByColor($A$19,F68:F83)</f>
        <v>0</v>
      </c>
      <c r="G85" s="709"/>
      <c r="H85" s="709">
        <f>SumByColor($A$19,H68:H83)</f>
        <v>0</v>
      </c>
      <c r="I85" s="709"/>
      <c r="J85" s="709"/>
      <c r="K85" s="710">
        <f>SumByColor($A$19,K69:K83)</f>
        <v>0</v>
      </c>
      <c r="L85" s="709"/>
      <c r="M85" s="710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708</v>
      </c>
      <c r="L88" s="224" t="s">
        <v>714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63" priority="31">
      <formula>F47&gt;0</formula>
    </cfRule>
    <cfRule type="expression" dxfId="1462" priority="32">
      <formula>F47&lt;0</formula>
    </cfRule>
  </conditionalFormatting>
  <conditionalFormatting sqref="Q7">
    <cfRule type="expression" dxfId="1461" priority="29">
      <formula>Q7&gt;0</formula>
    </cfRule>
    <cfRule type="expression" dxfId="1460" priority="30">
      <formula>Q7&lt;0</formula>
    </cfRule>
  </conditionalFormatting>
  <conditionalFormatting sqref="Q8">
    <cfRule type="expression" dxfId="1459" priority="27">
      <formula>Q8&gt;0</formula>
    </cfRule>
    <cfRule type="expression" dxfId="1458" priority="28">
      <formula>Q8&lt;0</formula>
    </cfRule>
  </conditionalFormatting>
  <conditionalFormatting sqref="F30:F46">
    <cfRule type="expression" dxfId="1457" priority="25">
      <formula>F30&gt;0</formula>
    </cfRule>
    <cfRule type="expression" dxfId="1456" priority="26">
      <formula>F30&lt;0</formula>
    </cfRule>
  </conditionalFormatting>
  <conditionalFormatting sqref="H30:H46">
    <cfRule type="expression" dxfId="1455" priority="23">
      <formula>H30&gt;0</formula>
    </cfRule>
    <cfRule type="expression" dxfId="1454" priority="24">
      <formula>H30&lt;0</formula>
    </cfRule>
  </conditionalFormatting>
  <conditionalFormatting sqref="Q10">
    <cfRule type="expression" dxfId="1453" priority="21">
      <formula>Q10&gt;0</formula>
    </cfRule>
    <cfRule type="expression" dxfId="1452" priority="22">
      <formula>Q10&lt;0</formula>
    </cfRule>
  </conditionalFormatting>
  <conditionalFormatting sqref="J25:J38">
    <cfRule type="expression" dxfId="1451" priority="19">
      <formula>J25&gt;0</formula>
    </cfRule>
    <cfRule type="expression" dxfId="1450" priority="20">
      <formula>J25&lt;0</formula>
    </cfRule>
  </conditionalFormatting>
  <conditionalFormatting sqref="K25:K38">
    <cfRule type="expression" dxfId="1449" priority="17">
      <formula>K25&gt;0</formula>
    </cfRule>
    <cfRule type="expression" dxfId="1448" priority="18">
      <formula>K25&lt;0</formula>
    </cfRule>
  </conditionalFormatting>
  <conditionalFormatting sqref="L25:L38">
    <cfRule type="expression" dxfId="1447" priority="15">
      <formula>L25&gt;0</formula>
    </cfRule>
    <cfRule type="expression" dxfId="1446" priority="16">
      <formula>L25&lt;0</formula>
    </cfRule>
  </conditionalFormatting>
  <conditionalFormatting sqref="F89:F110">
    <cfRule type="expression" dxfId="1445" priority="13">
      <formula>F89&gt;0</formula>
    </cfRule>
    <cfRule type="expression" dxfId="1444" priority="14">
      <formula>F89&lt;0</formula>
    </cfRule>
  </conditionalFormatting>
  <conditionalFormatting sqref="H89:H110">
    <cfRule type="expression" dxfId="1443" priority="11">
      <formula>H89&gt;0</formula>
    </cfRule>
    <cfRule type="expression" dxfId="1442" priority="12">
      <formula>H89&lt;0</formula>
    </cfRule>
  </conditionalFormatting>
  <conditionalFormatting sqref="J89:J102">
    <cfRule type="expression" dxfId="1441" priority="9">
      <formula>J89&gt;0</formula>
    </cfRule>
    <cfRule type="expression" dxfId="1440" priority="10">
      <formula>J89&lt;0</formula>
    </cfRule>
  </conditionalFormatting>
  <conditionalFormatting sqref="K89:K102">
    <cfRule type="expression" dxfId="1439" priority="7">
      <formula>K89&gt;0</formula>
    </cfRule>
    <cfRule type="expression" dxfId="1438" priority="8">
      <formula>K89&lt;0</formula>
    </cfRule>
  </conditionalFormatting>
  <conditionalFormatting sqref="L89:L102">
    <cfRule type="expression" dxfId="1437" priority="5">
      <formula>L89&gt;0</formula>
    </cfRule>
    <cfRule type="expression" dxfId="1436" priority="6">
      <formula>L89&lt;0</formula>
    </cfRule>
  </conditionalFormatting>
  <conditionalFormatting sqref="F25:F29">
    <cfRule type="expression" dxfId="1435" priority="3">
      <formula>F25&gt;0</formula>
    </cfRule>
    <cfRule type="expression" dxfId="1434" priority="4">
      <formula>F25&lt;0</formula>
    </cfRule>
  </conditionalFormatting>
  <conditionalFormatting sqref="H25:H29">
    <cfRule type="expression" dxfId="1433" priority="1">
      <formula>H25&gt;0</formula>
    </cfRule>
    <cfRule type="expression" dxfId="143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67.03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67.03</v>
      </c>
      <c r="R4" s="486">
        <v>-1.4999999999999999E-2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513</v>
      </c>
      <c r="J22" s="224" t="s">
        <v>150</v>
      </c>
      <c r="K22" s="224" t="s">
        <v>708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275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0" t="s">
        <v>7</v>
      </c>
      <c r="J37" s="480" t="s">
        <v>95</v>
      </c>
      <c r="K37" s="480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1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1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1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1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1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1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1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1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1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1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4">
        <v>42640</v>
      </c>
      <c r="C43" s="370">
        <v>20</v>
      </c>
      <c r="D43" s="371">
        <v>52.68</v>
      </c>
      <c r="E43" s="371">
        <v>0</v>
      </c>
      <c r="F43" s="371">
        <f t="shared" si="0"/>
        <v>1053.5999999999999</v>
      </c>
      <c r="G43" s="634">
        <v>42724</v>
      </c>
      <c r="H43" s="370">
        <v>20</v>
      </c>
      <c r="I43" s="371">
        <v>54.68</v>
      </c>
      <c r="J43" s="371">
        <v>0.02</v>
      </c>
      <c r="K43" s="371">
        <f>H43*I43-J43</f>
        <v>1093.58</v>
      </c>
      <c r="L43" s="369">
        <v>42739</v>
      </c>
      <c r="M43" s="371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4">
        <v>42640</v>
      </c>
      <c r="C44" s="370">
        <v>20</v>
      </c>
      <c r="D44" s="371">
        <v>52.68</v>
      </c>
      <c r="E44" s="371">
        <v>0</v>
      </c>
      <c r="F44" s="371">
        <f t="shared" si="0"/>
        <v>1053.5999999999999</v>
      </c>
      <c r="G44" s="634">
        <v>42741</v>
      </c>
      <c r="H44" s="374">
        <v>20</v>
      </c>
      <c r="I44" s="371">
        <v>53.94</v>
      </c>
      <c r="J44" s="371">
        <v>0.12</v>
      </c>
      <c r="K44" s="371">
        <f>H44*I44-J44</f>
        <v>1078.68</v>
      </c>
      <c r="L44" s="370"/>
      <c r="M44" s="370"/>
      <c r="O44" s="811" t="s">
        <v>78</v>
      </c>
      <c r="P44" s="811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4">
        <v>42724</v>
      </c>
      <c r="C45" s="540">
        <v>20</v>
      </c>
      <c r="D45" s="541">
        <v>52.68</v>
      </c>
      <c r="E45" s="541">
        <v>0</v>
      </c>
      <c r="F45" s="541">
        <f t="shared" si="0"/>
        <v>1053.5999999999999</v>
      </c>
      <c r="G45" s="654">
        <v>42774</v>
      </c>
      <c r="H45" s="542">
        <v>20</v>
      </c>
      <c r="I45" s="541">
        <v>53.88</v>
      </c>
      <c r="J45" s="541">
        <v>0.02</v>
      </c>
      <c r="K45" s="541">
        <f>I45*H45-J45</f>
        <v>1077.5800000000002</v>
      </c>
      <c r="L45" s="536"/>
      <c r="M45" s="541"/>
      <c r="O45" s="81">
        <v>1.1000000000000001</v>
      </c>
      <c r="P45" s="81">
        <f>O45*$Q$4</f>
        <v>73.733000000000004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4">
        <v>42766</v>
      </c>
      <c r="C46" s="540">
        <v>20</v>
      </c>
      <c r="D46" s="541">
        <v>51.72</v>
      </c>
      <c r="E46" s="541">
        <v>0</v>
      </c>
      <c r="F46" s="541">
        <f t="shared" si="0"/>
        <v>1034.4000000000001</v>
      </c>
      <c r="G46" s="654">
        <v>42803</v>
      </c>
      <c r="H46" s="542">
        <v>20</v>
      </c>
      <c r="I46" s="541">
        <v>56.41</v>
      </c>
      <c r="J46" s="541">
        <v>0.12</v>
      </c>
      <c r="K46" s="541">
        <f>I46*H46-J46</f>
        <v>1128.08</v>
      </c>
      <c r="L46" s="540"/>
      <c r="M46" s="540"/>
      <c r="O46" s="81">
        <v>1.0900000000000001</v>
      </c>
      <c r="P46" s="81">
        <f t="shared" ref="P46:P65" si="1">O46*$Q$4</f>
        <v>73.062700000000007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1"/>
      <c r="C47" s="254"/>
      <c r="D47" s="254"/>
      <c r="E47" s="254"/>
      <c r="F47" s="254"/>
      <c r="G47" s="561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72.392400000000009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71.722100000000012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1"/>
      <c r="C49" s="254"/>
      <c r="D49" s="254"/>
      <c r="E49" s="254"/>
      <c r="F49" s="254"/>
      <c r="G49" s="561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71.0518</v>
      </c>
      <c r="T49" s="91" t="s">
        <v>121</v>
      </c>
      <c r="U49" s="127" t="s">
        <v>539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1"/>
      <c r="C50" s="254"/>
      <c r="D50" s="254"/>
      <c r="E50" s="254"/>
      <c r="F50" s="254"/>
      <c r="G50" s="561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70.381500000000003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1"/>
      <c r="C51" s="254"/>
      <c r="D51" s="254"/>
      <c r="E51" s="254"/>
      <c r="F51" s="254"/>
      <c r="G51" s="561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69.711200000000005</v>
      </c>
      <c r="T51" s="91" t="s">
        <v>104</v>
      </c>
      <c r="U51" s="127" t="s">
        <v>628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1"/>
      <c r="C52" s="254"/>
      <c r="D52" s="254"/>
      <c r="E52" s="254"/>
      <c r="F52" s="254"/>
      <c r="G52" s="561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69.040900000000008</v>
      </c>
      <c r="T52" s="91" t="s">
        <v>105</v>
      </c>
      <c r="U52" s="127" t="s">
        <v>629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1"/>
      <c r="C53" s="254"/>
      <c r="D53" s="254"/>
      <c r="E53" s="254"/>
      <c r="F53" s="254"/>
      <c r="G53" s="561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68.370599999999996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67.700299999999999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49" t="s">
        <v>194</v>
      </c>
      <c r="B55" s="450"/>
      <c r="C55" s="451">
        <f>SumByColor($A$19,C38:C53)</f>
        <v>0</v>
      </c>
      <c r="D55" s="451"/>
      <c r="E55" s="451"/>
      <c r="F55" s="452">
        <f>SumByColor($A$19,F38:F41)</f>
        <v>0</v>
      </c>
      <c r="G55" s="451"/>
      <c r="H55" s="451">
        <f>SumByColor($A$19,H38:H53)</f>
        <v>0</v>
      </c>
      <c r="I55" s="451"/>
      <c r="J55" s="451"/>
      <c r="K55" s="452">
        <f>SumByColor($A$19,K38:K53)</f>
        <v>0</v>
      </c>
      <c r="L55" s="451"/>
      <c r="M55" s="452">
        <f>SumByColor($A$19,M38:M53)</f>
        <v>0</v>
      </c>
      <c r="O55" s="81">
        <v>1</v>
      </c>
      <c r="P55" s="81">
        <f t="shared" si="1"/>
        <v>67.03</v>
      </c>
      <c r="T55" s="91" t="s">
        <v>107</v>
      </c>
      <c r="U55" s="127" t="s">
        <v>630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66.359700000000004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65.689400000000006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65.019099999999995</v>
      </c>
      <c r="T58" s="91" t="s">
        <v>108</v>
      </c>
      <c r="U58" s="127" t="s">
        <v>560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64.348799999999997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63.6785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63.008199999999995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62.337900000000005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61.6676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60.997300000000003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60.327000000000005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431" priority="57">
      <formula>F27&gt;0</formula>
    </cfRule>
    <cfRule type="expression" dxfId="1430" priority="58">
      <formula>F27&lt;0</formula>
    </cfRule>
  </conditionalFormatting>
  <conditionalFormatting sqref="H28:H33">
    <cfRule type="expression" dxfId="1429" priority="53">
      <formula>H28&gt;0</formula>
    </cfRule>
    <cfRule type="expression" dxfId="1428" priority="54">
      <formula>H28&lt;0</formula>
    </cfRule>
  </conditionalFormatting>
  <conditionalFormatting sqref="F24:F26">
    <cfRule type="expression" dxfId="1427" priority="39">
      <formula>F24&gt;0</formula>
    </cfRule>
    <cfRule type="expression" dxfId="1426" priority="40">
      <formula>F24&lt;0</formula>
    </cfRule>
  </conditionalFormatting>
  <conditionalFormatting sqref="Q8">
    <cfRule type="expression" dxfId="1425" priority="33">
      <formula>Q8&gt;0</formula>
    </cfRule>
    <cfRule type="expression" dxfId="1424" priority="34">
      <formula>Q8&lt;0</formula>
    </cfRule>
  </conditionalFormatting>
  <conditionalFormatting sqref="Q7">
    <cfRule type="expression" dxfId="1423" priority="35">
      <formula>Q7&gt;0</formula>
    </cfRule>
    <cfRule type="expression" dxfId="1422" priority="36">
      <formula>Q7&lt;0</formula>
    </cfRule>
  </conditionalFormatting>
  <conditionalFormatting sqref="F34">
    <cfRule type="expression" dxfId="1421" priority="31">
      <formula>F34&gt;0</formula>
    </cfRule>
    <cfRule type="expression" dxfId="1420" priority="32">
      <formula>F34&lt;0</formula>
    </cfRule>
  </conditionalFormatting>
  <conditionalFormatting sqref="H34">
    <cfRule type="expression" dxfId="1419" priority="29">
      <formula>H34&gt;0</formula>
    </cfRule>
    <cfRule type="expression" dxfId="1418" priority="30">
      <formula>H34&lt;0</formula>
    </cfRule>
  </conditionalFormatting>
  <conditionalFormatting sqref="M36">
    <cfRule type="expression" dxfId="1417" priority="19">
      <formula>M36&gt;0</formula>
    </cfRule>
    <cfRule type="expression" dxfId="1416" priority="20">
      <formula>M36&lt;0</formula>
    </cfRule>
  </conditionalFormatting>
  <conditionalFormatting sqref="Q10">
    <cfRule type="expression" dxfId="1415" priority="15">
      <formula>Q10&gt;0</formula>
    </cfRule>
    <cfRule type="expression" dxfId="1414" priority="16">
      <formula>Q10&lt;0</formula>
    </cfRule>
  </conditionalFormatting>
  <conditionalFormatting sqref="F23">
    <cfRule type="expression" dxfId="1413" priority="13">
      <formula>F23&gt;0</formula>
    </cfRule>
    <cfRule type="expression" dxfId="1412" priority="14">
      <formula>F23&lt;0</formula>
    </cfRule>
  </conditionalFormatting>
  <conditionalFormatting sqref="I25:J25">
    <cfRule type="expression" dxfId="1411" priority="9">
      <formula>I25&gt;0</formula>
    </cfRule>
    <cfRule type="expression" dxfId="1410" priority="10">
      <formula>I25&lt;0</formula>
    </cfRule>
  </conditionalFormatting>
  <conditionalFormatting sqref="I26:J27">
    <cfRule type="expression" dxfId="1409" priority="7">
      <formula>I26&gt;0</formula>
    </cfRule>
    <cfRule type="expression" dxfId="1408" priority="8">
      <formula>I26&lt;0</formula>
    </cfRule>
  </conditionalFormatting>
  <conditionalFormatting sqref="K25:K27">
    <cfRule type="expression" dxfId="1407" priority="5">
      <formula>K25&gt;0</formula>
    </cfRule>
    <cfRule type="expression" dxfId="1406" priority="6">
      <formula>K25&lt;0</formula>
    </cfRule>
  </conditionalFormatting>
  <conditionalFormatting sqref="I23:J23">
    <cfRule type="expression" dxfId="1405" priority="3">
      <formula>I23&gt;0</formula>
    </cfRule>
    <cfRule type="expression" dxfId="140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2"/>
      <c r="U1" s="747" t="s">
        <v>803</v>
      </c>
      <c r="V1" s="747" t="s">
        <v>756</v>
      </c>
      <c r="W1" s="747" t="s">
        <v>988</v>
      </c>
      <c r="X1" s="747" t="s">
        <v>987</v>
      </c>
      <c r="Y1" s="722"/>
      <c r="AC1" s="11" t="s">
        <v>70</v>
      </c>
    </row>
    <row r="2" spans="1:30" x14ac:dyDescent="0.25">
      <c r="A2" s="6" t="s">
        <v>227</v>
      </c>
      <c r="B2" s="444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4">
        <v>42809</v>
      </c>
      <c r="H2" s="7">
        <v>100</v>
      </c>
      <c r="I2" s="43">
        <v>28.91</v>
      </c>
      <c r="J2" s="43">
        <v>0.06</v>
      </c>
      <c r="K2" s="43">
        <f t="shared" ref="K2:K14" si="1">I2*H2-J2</f>
        <v>2890.94</v>
      </c>
      <c r="L2" s="72">
        <v>42810</v>
      </c>
      <c r="M2" s="43">
        <v>27.5</v>
      </c>
      <c r="O2" s="11" t="s">
        <v>57</v>
      </c>
      <c r="Q2">
        <f>C22-H22</f>
        <v>400</v>
      </c>
      <c r="T2" s="723" t="s">
        <v>804</v>
      </c>
      <c r="U2" s="746">
        <v>42948</v>
      </c>
      <c r="V2" s="746">
        <v>43039</v>
      </c>
      <c r="W2" s="746">
        <v>43150</v>
      </c>
      <c r="X2" s="746"/>
      <c r="Y2" s="690"/>
    </row>
    <row r="3" spans="1:30" x14ac:dyDescent="0.25">
      <c r="A3" s="22" t="s">
        <v>71</v>
      </c>
      <c r="B3" s="444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4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21.809049999999971</v>
      </c>
      <c r="T3" s="724" t="s">
        <v>751</v>
      </c>
      <c r="U3" s="690"/>
      <c r="V3" s="690"/>
      <c r="W3" s="690"/>
      <c r="X3" s="690"/>
      <c r="Y3" s="690"/>
    </row>
    <row r="4" spans="1:30" x14ac:dyDescent="0.25">
      <c r="B4" s="444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4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26.32</v>
      </c>
      <c r="R4" s="486">
        <v>-1.8599999999999998E-2</v>
      </c>
      <c r="T4" s="725" t="s">
        <v>768</v>
      </c>
      <c r="U4" s="729">
        <v>320</v>
      </c>
      <c r="V4" s="729">
        <v>310</v>
      </c>
      <c r="W4" s="729">
        <v>320</v>
      </c>
      <c r="X4" s="729"/>
      <c r="Y4" s="690"/>
    </row>
    <row r="5" spans="1:30" x14ac:dyDescent="0.25">
      <c r="B5" s="444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4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10528</v>
      </c>
      <c r="T5" s="726" t="s">
        <v>761</v>
      </c>
      <c r="U5" s="729">
        <v>340</v>
      </c>
      <c r="V5" s="729">
        <v>330</v>
      </c>
      <c r="W5" s="729">
        <v>350</v>
      </c>
      <c r="X5" s="729"/>
      <c r="Y5" s="690"/>
    </row>
    <row r="6" spans="1:30" x14ac:dyDescent="0.25">
      <c r="B6" s="444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44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8723.6199999999881</v>
      </c>
      <c r="T6" s="727" t="s">
        <v>754</v>
      </c>
      <c r="U6" s="729">
        <v>336</v>
      </c>
      <c r="V6" s="744">
        <v>329</v>
      </c>
      <c r="W6" s="744">
        <v>348</v>
      </c>
      <c r="X6" s="744"/>
      <c r="Y6" s="690"/>
      <c r="AC6" s="159">
        <v>43150</v>
      </c>
      <c r="AD6" t="s">
        <v>82</v>
      </c>
    </row>
    <row r="7" spans="1:30" x14ac:dyDescent="0.25">
      <c r="B7" s="444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4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3256.6400000000103</v>
      </c>
      <c r="R7" s="29">
        <v>43164</v>
      </c>
      <c r="T7" s="727" t="s">
        <v>791</v>
      </c>
      <c r="U7" s="729">
        <v>343</v>
      </c>
      <c r="V7" s="729">
        <v>326</v>
      </c>
      <c r="W7" s="729">
        <v>317</v>
      </c>
      <c r="X7" s="729"/>
      <c r="Y7" s="690"/>
    </row>
    <row r="8" spans="1:30" x14ac:dyDescent="0.25">
      <c r="B8" s="444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4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1804.3800000000119</v>
      </c>
      <c r="T8" s="727" t="s">
        <v>762</v>
      </c>
      <c r="U8" s="729">
        <v>2.2999999999999998</v>
      </c>
      <c r="V8" s="729">
        <v>2.2000000000000002</v>
      </c>
      <c r="W8" s="729">
        <v>2.2999999999999998</v>
      </c>
      <c r="X8" s="729">
        <v>1.9</v>
      </c>
      <c r="Y8" s="690"/>
    </row>
    <row r="9" spans="1:30" x14ac:dyDescent="0.25">
      <c r="B9" s="444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4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0.20683844550771519</v>
      </c>
      <c r="T9" s="727" t="s">
        <v>763</v>
      </c>
      <c r="U9" s="729">
        <v>2.6</v>
      </c>
      <c r="V9" s="729">
        <v>2.5</v>
      </c>
      <c r="W9" s="729">
        <v>2.6</v>
      </c>
      <c r="X9" s="729">
        <v>2.2000000000000002</v>
      </c>
      <c r="Y9" s="690"/>
    </row>
    <row r="10" spans="1:30" x14ac:dyDescent="0.25">
      <c r="B10" s="444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4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7" t="s">
        <v>780</v>
      </c>
      <c r="U10" s="729">
        <v>2.6</v>
      </c>
      <c r="V10" s="744">
        <v>2.1</v>
      </c>
      <c r="W10" s="744">
        <v>2.5</v>
      </c>
      <c r="X10" s="744"/>
      <c r="Y10" s="690"/>
    </row>
    <row r="11" spans="1:30" x14ac:dyDescent="0.25">
      <c r="B11" s="444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4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3.7993920972644378E-3</v>
      </c>
      <c r="R11">
        <f>0.025</f>
        <v>2.5000000000000001E-2</v>
      </c>
      <c r="T11" s="690"/>
      <c r="U11" s="729"/>
      <c r="V11" s="690"/>
      <c r="W11" s="690"/>
      <c r="X11" s="690"/>
      <c r="Y11" s="690"/>
    </row>
    <row r="12" spans="1:30" x14ac:dyDescent="0.25">
      <c r="B12" s="444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4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7" t="s">
        <v>757</v>
      </c>
      <c r="U12" s="729"/>
      <c r="V12" s="735">
        <v>7.0000000000000007E-2</v>
      </c>
      <c r="W12" s="735" t="s">
        <v>805</v>
      </c>
      <c r="X12" s="748" t="s">
        <v>991</v>
      </c>
      <c r="Y12" s="690"/>
    </row>
    <row r="13" spans="1:30" x14ac:dyDescent="0.25">
      <c r="B13" s="444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G13" s="444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T13" s="727" t="s">
        <v>764</v>
      </c>
      <c r="U13" s="729"/>
      <c r="V13" s="735">
        <v>0.09</v>
      </c>
      <c r="W13" s="735"/>
      <c r="X13" s="748" t="s">
        <v>992</v>
      </c>
      <c r="Y13" s="690"/>
    </row>
    <row r="14" spans="1:30" ht="20.25" thickBot="1" x14ac:dyDescent="0.35">
      <c r="B14" s="444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G14" s="444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811" t="s">
        <v>78</v>
      </c>
      <c r="P14" s="811"/>
      <c r="T14" s="727" t="s">
        <v>789</v>
      </c>
      <c r="U14" s="736">
        <v>0.08</v>
      </c>
      <c r="V14" s="745">
        <v>0.09</v>
      </c>
      <c r="W14" s="745">
        <v>0.13</v>
      </c>
      <c r="X14" s="745"/>
      <c r="Y14" s="690"/>
    </row>
    <row r="15" spans="1:30" ht="15.75" thickTop="1" x14ac:dyDescent="0.25">
      <c r="B15" s="444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L15" s="1"/>
      <c r="O15" s="81">
        <v>1.1000000000000001</v>
      </c>
      <c r="P15" s="81">
        <f>O15*$Q$4</f>
        <v>28.952000000000002</v>
      </c>
      <c r="T15" s="727" t="s">
        <v>758</v>
      </c>
      <c r="U15" s="729"/>
      <c r="V15" s="690"/>
      <c r="W15" s="690"/>
      <c r="X15" s="690"/>
      <c r="Y15" s="690"/>
    </row>
    <row r="16" spans="1:30" x14ac:dyDescent="0.25">
      <c r="A16" t="s">
        <v>829</v>
      </c>
      <c r="B16" s="444">
        <v>43131</v>
      </c>
      <c r="C16" s="7">
        <v>100</v>
      </c>
      <c r="D16" s="43">
        <v>26.88</v>
      </c>
      <c r="E16" s="43">
        <v>0</v>
      </c>
      <c r="F16" s="43">
        <f t="shared" si="3"/>
        <v>2688</v>
      </c>
      <c r="H16" s="70"/>
      <c r="O16" s="81">
        <v>1.0900000000000001</v>
      </c>
      <c r="P16" s="81">
        <f t="shared" ref="P16:P35" si="4">O16*$Q$4</f>
        <v>28.688800000000004</v>
      </c>
      <c r="T16" s="727" t="s">
        <v>759</v>
      </c>
      <c r="U16" s="729"/>
      <c r="V16" s="690"/>
      <c r="W16" s="690"/>
      <c r="X16" s="690"/>
      <c r="Y16" s="690"/>
    </row>
    <row r="17" spans="1:27" x14ac:dyDescent="0.25">
      <c r="B17" s="485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O17" s="81">
        <v>1.08</v>
      </c>
      <c r="P17" s="81">
        <f t="shared" si="4"/>
        <v>28.425600000000003</v>
      </c>
      <c r="T17" s="727" t="s">
        <v>986</v>
      </c>
      <c r="U17" s="729">
        <v>76</v>
      </c>
      <c r="V17" s="433">
        <v>67</v>
      </c>
      <c r="W17" s="433">
        <v>133</v>
      </c>
      <c r="X17" s="433"/>
      <c r="Y17" s="690"/>
    </row>
    <row r="18" spans="1:27" x14ac:dyDescent="0.25">
      <c r="B18" s="485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O18" s="81">
        <v>1.07</v>
      </c>
      <c r="P18" s="81">
        <f t="shared" si="4"/>
        <v>28.162400000000002</v>
      </c>
      <c r="T18" s="690"/>
      <c r="U18" s="729"/>
      <c r="V18" s="690"/>
      <c r="W18" s="690"/>
      <c r="X18" s="690"/>
      <c r="Y18" s="690"/>
    </row>
    <row r="19" spans="1:27" x14ac:dyDescent="0.25">
      <c r="C19" s="4"/>
      <c r="D19" s="3"/>
      <c r="E19" s="3"/>
      <c r="F19" s="3"/>
      <c r="O19" s="81">
        <v>1.06</v>
      </c>
      <c r="P19" s="81">
        <f t="shared" si="4"/>
        <v>27.8992</v>
      </c>
      <c r="T19" s="727" t="s">
        <v>769</v>
      </c>
      <c r="U19" s="732" t="s">
        <v>772</v>
      </c>
      <c r="V19" s="727" t="s">
        <v>772</v>
      </c>
      <c r="W19" s="727" t="s">
        <v>772</v>
      </c>
      <c r="X19" s="727"/>
      <c r="Y19" s="690"/>
    </row>
    <row r="20" spans="1:27" x14ac:dyDescent="0.25">
      <c r="O20" s="81">
        <v>1.05</v>
      </c>
      <c r="P20" s="81">
        <f t="shared" si="4"/>
        <v>27.636000000000003</v>
      </c>
      <c r="T20" s="727" t="s">
        <v>770</v>
      </c>
      <c r="U20" s="735">
        <v>0.84</v>
      </c>
      <c r="V20" s="745">
        <v>0.8</v>
      </c>
      <c r="W20" s="745">
        <v>0.79</v>
      </c>
      <c r="X20" s="745"/>
      <c r="Y20" s="690"/>
    </row>
    <row r="21" spans="1:27" x14ac:dyDescent="0.25">
      <c r="O21" s="81">
        <v>1.04</v>
      </c>
      <c r="P21" s="81">
        <f t="shared" si="4"/>
        <v>27.372800000000002</v>
      </c>
      <c r="T21" s="727" t="s">
        <v>791</v>
      </c>
      <c r="U21" s="735">
        <v>0.82</v>
      </c>
      <c r="V21" s="735">
        <v>0.84</v>
      </c>
      <c r="W21" s="735">
        <v>0.84</v>
      </c>
      <c r="X21" s="735"/>
      <c r="Y21" s="690"/>
    </row>
    <row r="22" spans="1:27" x14ac:dyDescent="0.25">
      <c r="A22" s="31" t="s">
        <v>81</v>
      </c>
      <c r="B22" s="14"/>
      <c r="C22" s="14">
        <f>SUM(C2:C19)</f>
        <v>2150</v>
      </c>
      <c r="D22" s="18"/>
      <c r="E22" s="18"/>
      <c r="F22" s="18">
        <f>SUM(F2:F19)</f>
        <v>52773.62</v>
      </c>
      <c r="G22" s="14"/>
      <c r="H22" s="14">
        <f>SUM(H2:H14)</f>
        <v>1750</v>
      </c>
      <c r="I22" s="18"/>
      <c r="J22" s="18"/>
      <c r="K22" s="18">
        <f>SUM(K2:K14)</f>
        <v>43785.000000000015</v>
      </c>
      <c r="L22" s="14"/>
      <c r="M22" s="18">
        <f>SUM(M2:M10)</f>
        <v>265</v>
      </c>
      <c r="O22" s="81">
        <v>1.03</v>
      </c>
      <c r="P22" s="81">
        <f t="shared" si="4"/>
        <v>27.1096</v>
      </c>
      <c r="T22" s="734" t="s">
        <v>788</v>
      </c>
      <c r="U22" s="729">
        <v>975</v>
      </c>
      <c r="V22" s="433">
        <v>799</v>
      </c>
      <c r="W22" s="433">
        <v>1000</v>
      </c>
      <c r="X22" s="433"/>
      <c r="Y22" s="690"/>
    </row>
    <row r="23" spans="1:27" ht="15.75" thickBot="1" x14ac:dyDescent="0.3">
      <c r="A23" s="347" t="s">
        <v>194</v>
      </c>
      <c r="B23" s="348"/>
      <c r="C23" s="349">
        <f>SumByColor($A$23,C2:C21)</f>
        <v>1850</v>
      </c>
      <c r="D23" s="349"/>
      <c r="E23" s="349"/>
      <c r="F23" s="350">
        <f>SumByColor($A$23,F2:F21)</f>
        <v>44480</v>
      </c>
      <c r="G23" s="349"/>
      <c r="H23" s="349">
        <f>SumByColor($A$23,H2:H21)</f>
        <v>1750</v>
      </c>
      <c r="I23" s="349"/>
      <c r="J23" s="349"/>
      <c r="K23" s="350">
        <f>SumByColor($A$23,K2:K21)</f>
        <v>43786</v>
      </c>
      <c r="L23" s="349"/>
      <c r="M23" s="350">
        <f>SumByColor($A$23,M2:M21)</f>
        <v>266</v>
      </c>
      <c r="O23" s="81">
        <v>1.02</v>
      </c>
      <c r="P23" s="81">
        <f t="shared" si="4"/>
        <v>26.846399999999999</v>
      </c>
      <c r="T23" s="690"/>
      <c r="U23" s="729"/>
      <c r="V23" s="690"/>
      <c r="W23" s="690"/>
      <c r="X23" s="690"/>
      <c r="Y23" s="690"/>
    </row>
    <row r="24" spans="1:27" x14ac:dyDescent="0.25">
      <c r="O24" s="81">
        <v>1.01</v>
      </c>
      <c r="P24" s="81">
        <f t="shared" si="4"/>
        <v>26.583200000000001</v>
      </c>
      <c r="T24" s="724" t="s">
        <v>752</v>
      </c>
      <c r="U24" s="729"/>
      <c r="V24" s="690"/>
      <c r="W24" s="690"/>
      <c r="X24" s="690"/>
      <c r="Y24" s="690"/>
    </row>
    <row r="25" spans="1:27" x14ac:dyDescent="0.25">
      <c r="O25" s="81">
        <v>1</v>
      </c>
      <c r="P25" s="81">
        <f t="shared" si="4"/>
        <v>26.32</v>
      </c>
      <c r="T25" s="725" t="s">
        <v>765</v>
      </c>
      <c r="U25" s="729">
        <v>170</v>
      </c>
      <c r="V25" s="729">
        <v>165</v>
      </c>
      <c r="W25" s="729">
        <v>175</v>
      </c>
      <c r="X25" s="729"/>
      <c r="Y25" s="690"/>
    </row>
    <row r="26" spans="1:27" x14ac:dyDescent="0.25">
      <c r="B26" s="497" t="s">
        <v>113</v>
      </c>
      <c r="C26" s="497" t="s">
        <v>146</v>
      </c>
      <c r="D26" s="498" t="s">
        <v>145</v>
      </c>
      <c r="E26" s="499" t="s">
        <v>147</v>
      </c>
      <c r="F26" s="499" t="s">
        <v>65</v>
      </c>
      <c r="G26" s="501" t="s">
        <v>151</v>
      </c>
      <c r="H26" s="501" t="s">
        <v>88</v>
      </c>
      <c r="I26" s="501" t="s">
        <v>154</v>
      </c>
      <c r="J26" s="501" t="s">
        <v>513</v>
      </c>
      <c r="K26" s="501" t="s">
        <v>150</v>
      </c>
      <c r="O26" s="81">
        <v>0.99</v>
      </c>
      <c r="P26" s="81">
        <f t="shared" si="4"/>
        <v>26.056799999999999</v>
      </c>
      <c r="T26" s="726" t="s">
        <v>766</v>
      </c>
      <c r="U26" s="729">
        <v>185</v>
      </c>
      <c r="V26" s="729">
        <v>180</v>
      </c>
      <c r="W26" s="729">
        <v>195</v>
      </c>
      <c r="X26" s="729"/>
      <c r="Y26" s="690"/>
      <c r="AA26" s="2"/>
    </row>
    <row r="27" spans="1:27" x14ac:dyDescent="0.25">
      <c r="B27" s="536">
        <v>42754</v>
      </c>
      <c r="C27" s="540">
        <v>100</v>
      </c>
      <c r="D27" s="541">
        <v>27.58</v>
      </c>
      <c r="E27" s="541">
        <v>30.25</v>
      </c>
      <c r="F27" s="541">
        <f t="shared" ref="F27:F32" si="5">C27*(E27-D27)</f>
        <v>267.00000000000017</v>
      </c>
      <c r="G27" s="541">
        <f t="shared" ref="G27:G32" si="6">D27*C27</f>
        <v>2758</v>
      </c>
      <c r="H27" s="582">
        <f t="shared" ref="H27:H32" si="7">(E27-D27)/D27</f>
        <v>9.6809282088469978E-2</v>
      </c>
      <c r="I27" s="541"/>
      <c r="J27" s="541"/>
      <c r="K27" s="541"/>
      <c r="O27" s="81">
        <v>0.98</v>
      </c>
      <c r="P27" s="81">
        <f t="shared" si="4"/>
        <v>25.793600000000001</v>
      </c>
      <c r="T27" s="727" t="s">
        <v>754</v>
      </c>
      <c r="U27" s="729">
        <v>179</v>
      </c>
      <c r="V27" s="744">
        <v>182</v>
      </c>
      <c r="W27" s="744">
        <v>188</v>
      </c>
      <c r="X27" s="744"/>
      <c r="Y27" s="690"/>
      <c r="AA27" s="2"/>
    </row>
    <row r="28" spans="1:27" x14ac:dyDescent="0.25">
      <c r="B28" s="536">
        <v>42758</v>
      </c>
      <c r="C28" s="540">
        <v>100</v>
      </c>
      <c r="D28" s="541">
        <v>27.180700000000002</v>
      </c>
      <c r="E28" s="541">
        <v>31.55</v>
      </c>
      <c r="F28" s="541">
        <f t="shared" si="5"/>
        <v>436.92999999999989</v>
      </c>
      <c r="G28" s="541">
        <f t="shared" si="6"/>
        <v>2718.07</v>
      </c>
      <c r="H28" s="582">
        <f t="shared" si="7"/>
        <v>0.16075009105725749</v>
      </c>
      <c r="I28" s="541"/>
      <c r="J28" s="541"/>
      <c r="K28" s="541"/>
      <c r="O28" s="81">
        <v>0.97</v>
      </c>
      <c r="P28" s="81">
        <f t="shared" si="4"/>
        <v>25.5304</v>
      </c>
      <c r="T28" s="727" t="s">
        <v>791</v>
      </c>
      <c r="U28" s="729">
        <v>178</v>
      </c>
      <c r="V28" s="729">
        <v>160</v>
      </c>
      <c r="W28" s="729">
        <v>169</v>
      </c>
      <c r="X28" s="729"/>
      <c r="Y28" s="690"/>
      <c r="Z28" s="2"/>
      <c r="AA28" s="2"/>
    </row>
    <row r="29" spans="1:27" x14ac:dyDescent="0.25">
      <c r="A29" t="s">
        <v>359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5"/>
        <v>37.000000000000099</v>
      </c>
      <c r="G29" s="39">
        <f t="shared" si="6"/>
        <v>3118</v>
      </c>
      <c r="H29" s="226">
        <f t="shared" si="7"/>
        <v>1.1866581141757569E-2</v>
      </c>
      <c r="I29" s="39"/>
      <c r="J29" s="39"/>
      <c r="K29" s="39"/>
      <c r="O29" s="81">
        <v>0.96</v>
      </c>
      <c r="P29" s="81">
        <f t="shared" si="4"/>
        <v>25.267199999999999</v>
      </c>
      <c r="T29" s="727" t="s">
        <v>762</v>
      </c>
      <c r="U29" s="729">
        <v>2</v>
      </c>
      <c r="V29" s="729">
        <v>1.9</v>
      </c>
      <c r="W29" s="729">
        <v>1.9</v>
      </c>
      <c r="X29" s="729">
        <v>1.7</v>
      </c>
      <c r="Y29" s="690"/>
      <c r="Z29" s="2"/>
      <c r="AA29" s="2"/>
    </row>
    <row r="30" spans="1:27" x14ac:dyDescent="0.25">
      <c r="A30" t="s">
        <v>359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5"/>
        <v>207.99999999999983</v>
      </c>
      <c r="G30" s="39">
        <f t="shared" si="6"/>
        <v>3118</v>
      </c>
      <c r="H30" s="226">
        <f t="shared" si="7"/>
        <v>6.6709429121231498E-2</v>
      </c>
      <c r="I30" s="39"/>
      <c r="J30" s="39"/>
      <c r="K30" s="39"/>
      <c r="O30" s="81">
        <v>0.95</v>
      </c>
      <c r="P30" s="81">
        <f t="shared" si="4"/>
        <v>25.003999999999998</v>
      </c>
      <c r="T30" s="727" t="s">
        <v>763</v>
      </c>
      <c r="U30" s="729">
        <v>2.2999999999999998</v>
      </c>
      <c r="V30" s="729">
        <v>2.2000000000000002</v>
      </c>
      <c r="W30" s="729">
        <v>2.2000000000000002</v>
      </c>
      <c r="X30" s="729">
        <v>2</v>
      </c>
      <c r="Y30" s="690"/>
      <c r="Z30" s="2"/>
      <c r="AA30" s="2"/>
    </row>
    <row r="31" spans="1:27" x14ac:dyDescent="0.25">
      <c r="A31" t="s">
        <v>348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5"/>
        <v>246.00000000000009</v>
      </c>
      <c r="G31" s="39">
        <f t="shared" si="6"/>
        <v>3118</v>
      </c>
      <c r="H31" s="226">
        <f t="shared" si="7"/>
        <v>7.8896728672225816E-2</v>
      </c>
      <c r="I31" s="39"/>
      <c r="J31" s="39"/>
      <c r="K31" s="39"/>
      <c r="O31" s="81">
        <v>0.94</v>
      </c>
      <c r="P31" s="81">
        <f t="shared" si="4"/>
        <v>24.7408</v>
      </c>
      <c r="T31" s="727" t="s">
        <v>755</v>
      </c>
      <c r="U31" s="729">
        <v>2.2000000000000002</v>
      </c>
      <c r="V31" s="744">
        <v>2.2000000000000002</v>
      </c>
      <c r="W31" s="744">
        <v>2.2000000000000002</v>
      </c>
      <c r="X31" s="744"/>
      <c r="Y31" s="690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5"/>
        <v>-245.99999999999937</v>
      </c>
      <c r="G32" s="39">
        <f t="shared" si="6"/>
        <v>5966</v>
      </c>
      <c r="H32" s="226">
        <f t="shared" si="7"/>
        <v>-4.1233657391887259E-2</v>
      </c>
      <c r="I32" s="39"/>
      <c r="J32" s="39">
        <v>30.72</v>
      </c>
      <c r="K32" s="39">
        <v>1207</v>
      </c>
      <c r="O32" s="81">
        <v>0.93</v>
      </c>
      <c r="P32" s="81">
        <f t="shared" si="4"/>
        <v>24.477600000000002</v>
      </c>
      <c r="T32" s="690"/>
      <c r="U32" s="729"/>
      <c r="V32" s="690"/>
      <c r="W32" s="690"/>
      <c r="X32" s="690"/>
      <c r="Y32" s="690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8">C33*(E33-D33)</f>
        <v>-161.0599999999998</v>
      </c>
      <c r="G33" s="39">
        <f t="shared" ref="G33" si="9">D33*C33</f>
        <v>3075.06</v>
      </c>
      <c r="H33" s="226">
        <f t="shared" ref="H33" si="10">(E33-D33)/D33</f>
        <v>-5.2376213797454295E-2</v>
      </c>
      <c r="I33" s="39"/>
      <c r="J33" s="39"/>
      <c r="K33" s="39">
        <v>1291</v>
      </c>
      <c r="O33" s="81">
        <v>0.92</v>
      </c>
      <c r="P33" s="81">
        <f t="shared" si="4"/>
        <v>24.214400000000001</v>
      </c>
      <c r="T33" s="727" t="s">
        <v>757</v>
      </c>
      <c r="U33" s="729"/>
      <c r="V33" s="735">
        <v>0.15</v>
      </c>
      <c r="W33" s="748" t="s">
        <v>806</v>
      </c>
      <c r="X33" s="748" t="s">
        <v>989</v>
      </c>
      <c r="Y33" s="690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1">C34*(E34-D34)</f>
        <v>-130.55999999999983</v>
      </c>
      <c r="G34" s="39">
        <f t="shared" ref="G34:G47" si="12">D34*C34</f>
        <v>3047.56</v>
      </c>
      <c r="H34" s="226">
        <f t="shared" ref="H34:H47" si="13">(E34-D34)/D34</f>
        <v>-4.2840830041081988E-2</v>
      </c>
      <c r="I34" s="39"/>
      <c r="J34" s="39">
        <v>30</v>
      </c>
      <c r="K34" s="39">
        <v>1321</v>
      </c>
      <c r="O34" s="81">
        <v>0.91</v>
      </c>
      <c r="P34" s="81">
        <f t="shared" si="4"/>
        <v>23.9512</v>
      </c>
      <c r="T34" s="727" t="s">
        <v>764</v>
      </c>
      <c r="U34" s="729"/>
      <c r="V34" s="735">
        <v>0.18</v>
      </c>
      <c r="W34" s="735"/>
      <c r="X34" s="748" t="s">
        <v>990</v>
      </c>
      <c r="Y34" s="690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1"/>
        <v>-144.55999999999989</v>
      </c>
      <c r="G35" s="39">
        <f t="shared" si="12"/>
        <v>5882.56</v>
      </c>
      <c r="H35" s="226">
        <f t="shared" si="13"/>
        <v>-2.4574334983408566E-2</v>
      </c>
      <c r="I35" s="39">
        <v>29</v>
      </c>
      <c r="J35" s="39"/>
      <c r="K35" s="39">
        <v>1308</v>
      </c>
      <c r="O35" s="81">
        <v>0.9</v>
      </c>
      <c r="P35" s="81">
        <f t="shared" si="4"/>
        <v>23.688000000000002</v>
      </c>
      <c r="T35" s="727" t="s">
        <v>789</v>
      </c>
      <c r="U35" s="735">
        <v>0.23</v>
      </c>
      <c r="V35" s="745">
        <v>0.21</v>
      </c>
      <c r="W35" s="745">
        <v>0.23</v>
      </c>
      <c r="X35" s="745"/>
      <c r="Y35" s="690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1"/>
        <v>-898.56000000000017</v>
      </c>
      <c r="G36" s="39">
        <f t="shared" si="12"/>
        <v>8383.56</v>
      </c>
      <c r="H36" s="226">
        <f t="shared" si="13"/>
        <v>-0.10718119748650932</v>
      </c>
      <c r="I36" s="39"/>
      <c r="J36" s="39"/>
      <c r="K36" s="39">
        <v>554</v>
      </c>
      <c r="T36" s="727" t="s">
        <v>758</v>
      </c>
      <c r="U36" s="729"/>
      <c r="V36" s="690"/>
      <c r="W36" s="690"/>
      <c r="X36" s="690"/>
      <c r="Y36" s="690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1"/>
        <v>-1189.5600000000002</v>
      </c>
      <c r="G37" s="39">
        <f t="shared" si="12"/>
        <v>10781.56</v>
      </c>
      <c r="H37" s="226">
        <f t="shared" si="13"/>
        <v>-0.11033282753145186</v>
      </c>
      <c r="I37" s="39"/>
      <c r="J37" s="39"/>
      <c r="K37" s="39"/>
      <c r="T37" s="727" t="s">
        <v>759</v>
      </c>
      <c r="U37" s="729"/>
      <c r="V37" s="690"/>
      <c r="W37" s="690"/>
      <c r="X37" s="690"/>
      <c r="Y37" s="690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1"/>
        <v>-1401.5600000000006</v>
      </c>
      <c r="G38" s="39">
        <f t="shared" si="12"/>
        <v>10781.56</v>
      </c>
      <c r="H38" s="226">
        <f t="shared" si="13"/>
        <v>-0.12999603025907203</v>
      </c>
      <c r="I38" s="39"/>
      <c r="J38" s="39"/>
      <c r="K38" s="39">
        <v>50</v>
      </c>
      <c r="T38" s="727" t="s">
        <v>790</v>
      </c>
      <c r="U38" s="729">
        <v>110</v>
      </c>
      <c r="V38" s="433">
        <v>99</v>
      </c>
      <c r="W38" s="433">
        <v>114</v>
      </c>
      <c r="X38" s="433"/>
      <c r="Y38" s="690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1"/>
        <v>-1631.9999999999993</v>
      </c>
      <c r="G39" s="39">
        <f t="shared" si="12"/>
        <v>15378</v>
      </c>
      <c r="H39" s="226">
        <f t="shared" si="13"/>
        <v>-0.10612563402262969</v>
      </c>
      <c r="I39" s="39"/>
      <c r="J39" s="39"/>
      <c r="K39" s="39">
        <v>-179</v>
      </c>
      <c r="T39" s="727" t="s">
        <v>769</v>
      </c>
      <c r="U39" s="732" t="s">
        <v>781</v>
      </c>
      <c r="V39" s="727" t="s">
        <v>772</v>
      </c>
      <c r="W39" s="727" t="s">
        <v>807</v>
      </c>
      <c r="X39" s="727"/>
      <c r="Y39" s="690"/>
    </row>
    <row r="40" spans="1:26" x14ac:dyDescent="0.2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1"/>
        <v>-1121.6799999999992</v>
      </c>
      <c r="G40" s="39">
        <f t="shared" si="12"/>
        <v>10541.68</v>
      </c>
      <c r="H40" s="226">
        <f t="shared" si="13"/>
        <v>-0.1064042922949662</v>
      </c>
      <c r="I40" s="39"/>
      <c r="J40" s="39"/>
      <c r="K40" s="39">
        <v>331</v>
      </c>
      <c r="T40" s="727" t="s">
        <v>770</v>
      </c>
      <c r="U40" s="735">
        <v>0.93</v>
      </c>
      <c r="V40" s="745">
        <v>0.87</v>
      </c>
      <c r="W40" s="745">
        <v>0.87</v>
      </c>
      <c r="X40" s="745"/>
      <c r="Y40" s="690"/>
    </row>
    <row r="41" spans="1:26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1"/>
        <v>-1533.6600000000003</v>
      </c>
      <c r="G41" s="39">
        <f t="shared" si="12"/>
        <v>15177.66</v>
      </c>
      <c r="H41" s="226">
        <f t="shared" si="13"/>
        <v>-0.10104719699874687</v>
      </c>
      <c r="I41" s="39"/>
      <c r="J41" s="39"/>
      <c r="K41" s="39">
        <v>-81.41</v>
      </c>
      <c r="Q41" s="2"/>
      <c r="T41" s="690"/>
      <c r="U41" s="729"/>
      <c r="V41" s="690"/>
      <c r="W41" s="690"/>
      <c r="X41" s="690"/>
      <c r="Y41" s="690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1"/>
        <v>-1461.6599999999999</v>
      </c>
      <c r="G42" s="39">
        <f t="shared" si="12"/>
        <v>15087.66</v>
      </c>
      <c r="H42" s="226">
        <f t="shared" si="13"/>
        <v>-9.6877845868743054E-2</v>
      </c>
      <c r="I42" s="39"/>
      <c r="J42" s="39"/>
      <c r="K42" s="39">
        <v>-9.41</v>
      </c>
      <c r="Q42" s="2"/>
      <c r="T42" s="734" t="s">
        <v>788</v>
      </c>
      <c r="U42" s="729">
        <v>468</v>
      </c>
      <c r="V42" s="433">
        <v>474</v>
      </c>
      <c r="W42" s="433">
        <v>496</v>
      </c>
      <c r="X42" s="433"/>
      <c r="Y42" s="690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1"/>
        <v>-613.80000000000052</v>
      </c>
      <c r="G43" s="39">
        <f t="shared" si="12"/>
        <v>10257.800000000001</v>
      </c>
      <c r="H43" s="226">
        <f t="shared" si="13"/>
        <v>-5.9837392033379525E-2</v>
      </c>
      <c r="I43" s="39"/>
      <c r="J43" s="39"/>
      <c r="K43" s="39">
        <v>836</v>
      </c>
      <c r="Q43" s="2"/>
      <c r="T43" s="690"/>
      <c r="U43" s="729"/>
      <c r="V43" s="690"/>
      <c r="W43" s="690"/>
      <c r="X43" s="690"/>
      <c r="Y43" s="690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1"/>
        <v>-384.00000000000034</v>
      </c>
      <c r="G44" s="39">
        <f t="shared" si="12"/>
        <v>14916</v>
      </c>
      <c r="H44" s="226">
        <f t="shared" si="13"/>
        <v>-2.5744167337087714E-2</v>
      </c>
      <c r="I44" s="39"/>
      <c r="J44" s="39"/>
      <c r="K44" s="39">
        <v>1066</v>
      </c>
      <c r="Q44" s="2"/>
      <c r="T44" s="724" t="s">
        <v>753</v>
      </c>
      <c r="U44" s="729"/>
      <c r="V44" s="690"/>
      <c r="W44" s="690"/>
      <c r="X44" s="690"/>
      <c r="Y44" s="690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1"/>
        <v>-229.9199999999999</v>
      </c>
      <c r="G45" s="39">
        <f t="shared" si="12"/>
        <v>9917.92</v>
      </c>
      <c r="H45" s="226">
        <f t="shared" si="13"/>
        <v>-2.3182280155516471E-2</v>
      </c>
      <c r="I45" s="39">
        <v>23</v>
      </c>
      <c r="J45" s="39"/>
      <c r="K45" s="39">
        <v>1222</v>
      </c>
      <c r="Q45" s="2"/>
      <c r="T45" s="727" t="s">
        <v>762</v>
      </c>
      <c r="U45" s="729">
        <v>1.4</v>
      </c>
      <c r="V45" s="729">
        <v>2.2999999999999998</v>
      </c>
      <c r="W45" s="729">
        <v>1.5</v>
      </c>
      <c r="X45" s="729">
        <v>1.4</v>
      </c>
      <c r="Y45" s="690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1"/>
        <v>-613.79999999999984</v>
      </c>
      <c r="G46" s="39">
        <f t="shared" si="12"/>
        <v>14773.800000000001</v>
      </c>
      <c r="H46" s="226">
        <f t="shared" si="13"/>
        <v>-4.1546521544897033E-2</v>
      </c>
      <c r="I46" s="39"/>
      <c r="J46" s="39"/>
      <c r="K46" s="39">
        <v>838</v>
      </c>
      <c r="Q46" s="2"/>
      <c r="T46" s="727" t="s">
        <v>763</v>
      </c>
      <c r="U46" s="729">
        <v>1.7</v>
      </c>
      <c r="V46" s="729">
        <v>2.6</v>
      </c>
      <c r="W46" s="729">
        <v>1.8</v>
      </c>
      <c r="X46" s="729">
        <v>1.7</v>
      </c>
      <c r="Y46" s="690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1"/>
        <v>-1069.9199999999992</v>
      </c>
      <c r="G47" s="39">
        <f t="shared" si="12"/>
        <v>19269.919999999998</v>
      </c>
      <c r="H47" s="226">
        <f t="shared" si="13"/>
        <v>-5.5522804453780765E-2</v>
      </c>
      <c r="I47" s="39"/>
      <c r="J47" s="39"/>
      <c r="K47" s="39"/>
      <c r="Q47" s="2"/>
      <c r="T47" s="727" t="s">
        <v>755</v>
      </c>
      <c r="U47" s="729">
        <v>1.6</v>
      </c>
      <c r="V47" s="744">
        <v>2.5</v>
      </c>
      <c r="W47" s="744">
        <v>1.9</v>
      </c>
      <c r="X47" s="744"/>
      <c r="Y47" s="690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Q48" s="2"/>
      <c r="T48" s="690"/>
      <c r="U48" s="729"/>
      <c r="V48" s="690"/>
      <c r="W48" s="690"/>
      <c r="X48" s="690"/>
      <c r="Y48" s="690"/>
    </row>
    <row r="49" spans="1:25" x14ac:dyDescent="0.25">
      <c r="A49">
        <v>700</v>
      </c>
      <c r="B49" s="188">
        <v>42984</v>
      </c>
      <c r="C49" s="434">
        <v>800</v>
      </c>
      <c r="D49" s="435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Q49" s="2"/>
      <c r="T49" s="727" t="s">
        <v>760</v>
      </c>
      <c r="U49" s="729">
        <v>20</v>
      </c>
      <c r="V49" s="727" t="s">
        <v>796</v>
      </c>
      <c r="W49" s="732">
        <v>20</v>
      </c>
      <c r="X49" s="732">
        <v>25</v>
      </c>
      <c r="Y49" s="690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Q50" s="2"/>
      <c r="T50" s="727" t="s">
        <v>767</v>
      </c>
      <c r="U50" s="729"/>
      <c r="V50" s="690"/>
      <c r="W50" s="690"/>
      <c r="X50" s="732">
        <v>35</v>
      </c>
      <c r="Y50" s="690"/>
    </row>
    <row r="51" spans="1:25" x14ac:dyDescent="0.25">
      <c r="A51">
        <v>700</v>
      </c>
      <c r="B51" s="188">
        <v>42999</v>
      </c>
      <c r="C51" s="434">
        <v>800</v>
      </c>
      <c r="D51" s="435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Q51" s="2"/>
      <c r="T51" s="727" t="s">
        <v>792</v>
      </c>
      <c r="U51" s="729">
        <v>24</v>
      </c>
      <c r="V51" s="744">
        <v>25</v>
      </c>
      <c r="W51" s="744">
        <v>24</v>
      </c>
      <c r="X51" s="744"/>
      <c r="Y51" s="690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Q52" s="2"/>
      <c r="T52" s="724"/>
      <c r="U52" s="730"/>
      <c r="V52" s="690"/>
      <c r="W52" s="690"/>
      <c r="X52" s="690"/>
      <c r="Y52" s="690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Q53" s="2"/>
      <c r="T53" s="727" t="s">
        <v>790</v>
      </c>
      <c r="U53" s="731">
        <v>39</v>
      </c>
      <c r="V53" s="433">
        <v>64</v>
      </c>
      <c r="W53" s="433">
        <v>45</v>
      </c>
      <c r="X53" s="433"/>
      <c r="Y53" s="690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T54" s="727" t="s">
        <v>793</v>
      </c>
      <c r="U54" s="737">
        <f>U53/U57</f>
        <v>6.6895368782161235E-2</v>
      </c>
      <c r="V54" s="737">
        <f>V53/V57</f>
        <v>6.8743286788399569E-2</v>
      </c>
      <c r="W54" s="737">
        <f>W53/W57</f>
        <v>6.311360448807854E-2</v>
      </c>
      <c r="X54" s="737"/>
      <c r="Y54" s="690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T55" s="727" t="s">
        <v>794</v>
      </c>
      <c r="U55" s="729">
        <v>356</v>
      </c>
      <c r="V55" s="744">
        <v>366</v>
      </c>
      <c r="W55" s="744">
        <v>370</v>
      </c>
      <c r="X55" s="744"/>
      <c r="Y55" s="690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T56" s="738" t="s">
        <v>795</v>
      </c>
      <c r="U56" s="729">
        <v>374</v>
      </c>
      <c r="V56" s="729">
        <v>380</v>
      </c>
      <c r="W56" s="729">
        <v>354</v>
      </c>
      <c r="X56" s="729"/>
      <c r="Y56" s="690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T57" s="734" t="s">
        <v>788</v>
      </c>
      <c r="U57" s="731">
        <v>583</v>
      </c>
      <c r="V57" s="433">
        <v>931</v>
      </c>
      <c r="W57" s="433">
        <v>713</v>
      </c>
      <c r="X57" s="433"/>
      <c r="Y57" s="690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2" t="s">
        <v>877</v>
      </c>
      <c r="J58" s="39"/>
      <c r="K58" s="39">
        <v>2972</v>
      </c>
      <c r="T58" s="727"/>
      <c r="U58" s="731"/>
      <c r="V58" s="690"/>
      <c r="W58" s="690"/>
      <c r="X58" s="690"/>
      <c r="Y58" s="690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T59" s="727"/>
      <c r="U59" s="731"/>
      <c r="V59" s="690"/>
      <c r="W59" s="690"/>
      <c r="X59" s="690"/>
      <c r="Y59" s="690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72" si="32">C60*(E60-D60)</f>
        <v>1747.6799999999998</v>
      </c>
      <c r="G60" s="39">
        <f t="shared" ref="G60:G72" si="33">D60*C60</f>
        <v>9140.32</v>
      </c>
      <c r="H60" s="226">
        <f t="shared" ref="H60:H72" si="34">(E60-D60)/D60</f>
        <v>0.1912055595427731</v>
      </c>
      <c r="I60" s="39"/>
      <c r="J60" s="39"/>
      <c r="K60" s="39">
        <v>3120</v>
      </c>
      <c r="T60" s="728"/>
      <c r="U60" s="731"/>
      <c r="V60" s="690"/>
      <c r="W60" s="690"/>
      <c r="X60" s="690"/>
      <c r="Y60" s="690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T61" s="727"/>
      <c r="U61" s="731"/>
      <c r="V61" s="690"/>
      <c r="W61" s="690"/>
      <c r="X61" s="690"/>
      <c r="Y61" s="690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8" t="s">
        <v>785</v>
      </c>
      <c r="U62" s="731">
        <v>95</v>
      </c>
      <c r="V62" s="690">
        <v>213.9</v>
      </c>
      <c r="W62" s="690">
        <v>127.1</v>
      </c>
      <c r="X62" s="690"/>
      <c r="Y62" s="690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8" t="s">
        <v>783</v>
      </c>
      <c r="U63" s="731">
        <v>97</v>
      </c>
      <c r="V63" s="690">
        <v>227.5</v>
      </c>
      <c r="W63" s="690">
        <v>-429.8</v>
      </c>
      <c r="X63" s="690"/>
      <c r="Y63" s="690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8" t="s">
        <v>782</v>
      </c>
      <c r="U64" s="731">
        <v>0.28000000000000003</v>
      </c>
      <c r="V64" s="690">
        <v>0.65</v>
      </c>
      <c r="W64" s="690">
        <v>-1.23</v>
      </c>
      <c r="X64" s="690"/>
      <c r="Y64" s="690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8" t="s">
        <v>993</v>
      </c>
      <c r="U65" s="731"/>
      <c r="V65" s="690"/>
      <c r="W65" s="690">
        <v>0.34</v>
      </c>
      <c r="X65" s="690"/>
      <c r="Y65" s="690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8" t="s">
        <v>784</v>
      </c>
      <c r="U66" s="731">
        <v>1.8</v>
      </c>
      <c r="V66" s="690">
        <v>1.98</v>
      </c>
      <c r="W66" s="690">
        <v>2.09</v>
      </c>
      <c r="X66" s="690"/>
      <c r="Y66" s="690"/>
    </row>
    <row r="67" spans="1:28" x14ac:dyDescent="0.25">
      <c r="B67" s="188">
        <v>43140</v>
      </c>
      <c r="C67" s="434">
        <v>800</v>
      </c>
      <c r="D67" s="435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8"/>
      <c r="U67" s="731"/>
      <c r="V67" s="690"/>
      <c r="W67" s="690"/>
      <c r="X67" s="690"/>
      <c r="Y67" s="690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8" t="s">
        <v>786</v>
      </c>
      <c r="U68" s="731">
        <v>661</v>
      </c>
      <c r="V68" s="690">
        <v>726.4</v>
      </c>
      <c r="W68" s="690">
        <v>2194.4</v>
      </c>
      <c r="X68" s="690"/>
      <c r="Y68" s="690"/>
    </row>
    <row r="69" spans="1:28" x14ac:dyDescent="0.25">
      <c r="A69">
        <v>50</v>
      </c>
      <c r="B69" s="188">
        <v>43146</v>
      </c>
      <c r="C69" s="10">
        <v>600</v>
      </c>
      <c r="D69" s="39">
        <v>23.38</v>
      </c>
      <c r="E69" s="39">
        <v>25.86</v>
      </c>
      <c r="F69" s="39">
        <f t="shared" si="32"/>
        <v>1488.0000000000002</v>
      </c>
      <c r="G69" s="39">
        <f t="shared" si="33"/>
        <v>14028</v>
      </c>
      <c r="H69" s="226">
        <f t="shared" si="34"/>
        <v>0.10607356715141149</v>
      </c>
      <c r="I69" s="39"/>
      <c r="J69" s="39"/>
      <c r="K69" s="39">
        <v>2941</v>
      </c>
      <c r="T69" s="728" t="s">
        <v>787</v>
      </c>
      <c r="U69" s="731">
        <v>3.8</v>
      </c>
      <c r="V69" s="690">
        <v>3.72</v>
      </c>
      <c r="W69" s="690">
        <v>4.88</v>
      </c>
      <c r="X69" s="690"/>
      <c r="Y69" s="690"/>
    </row>
    <row r="70" spans="1:28" x14ac:dyDescent="0.25">
      <c r="A70">
        <v>0</v>
      </c>
      <c r="B70" s="188">
        <v>43151</v>
      </c>
      <c r="C70" s="10">
        <v>500</v>
      </c>
      <c r="D70" s="39">
        <v>22.82</v>
      </c>
      <c r="E70" s="39">
        <v>26.19</v>
      </c>
      <c r="F70" s="39">
        <f t="shared" si="32"/>
        <v>1685.0000000000005</v>
      </c>
      <c r="G70" s="39">
        <f t="shared" si="33"/>
        <v>11410</v>
      </c>
      <c r="H70" s="226">
        <f t="shared" si="34"/>
        <v>0.14767747589833483</v>
      </c>
      <c r="I70" s="39"/>
      <c r="J70" s="39"/>
      <c r="K70" s="39">
        <v>3139</v>
      </c>
      <c r="L70" t="s">
        <v>994</v>
      </c>
      <c r="T70" s="727"/>
      <c r="U70" s="731"/>
      <c r="V70" s="690"/>
      <c r="W70" s="690"/>
      <c r="X70" s="690"/>
      <c r="Y70" s="690"/>
    </row>
    <row r="71" spans="1:28" x14ac:dyDescent="0.25">
      <c r="A71">
        <v>0</v>
      </c>
      <c r="B71" s="188">
        <v>43151</v>
      </c>
      <c r="C71" s="7">
        <v>400</v>
      </c>
      <c r="D71" s="43">
        <v>21.81</v>
      </c>
      <c r="E71" s="39">
        <v>26.76</v>
      </c>
      <c r="F71" s="39">
        <f t="shared" si="32"/>
        <v>1980.0000000000011</v>
      </c>
      <c r="G71" s="39">
        <f t="shared" si="33"/>
        <v>8724</v>
      </c>
      <c r="H71" s="226">
        <f t="shared" si="34"/>
        <v>0.22696011004126562</v>
      </c>
      <c r="I71" s="762" t="s">
        <v>995</v>
      </c>
      <c r="J71" s="39"/>
      <c r="K71" s="39">
        <v>3433</v>
      </c>
      <c r="T71" s="727"/>
      <c r="U71" s="731"/>
      <c r="V71" s="690"/>
      <c r="W71" s="690"/>
      <c r="X71" s="690"/>
      <c r="Y71" s="690"/>
    </row>
    <row r="72" spans="1:28" x14ac:dyDescent="0.25">
      <c r="B72" s="188">
        <v>43157</v>
      </c>
      <c r="C72" s="10">
        <v>400</v>
      </c>
      <c r="D72" s="39">
        <v>21.81</v>
      </c>
      <c r="E72" s="39">
        <v>28.12</v>
      </c>
      <c r="F72" s="39">
        <f t="shared" si="32"/>
        <v>2524.0000000000009</v>
      </c>
      <c r="G72" s="39">
        <f t="shared" si="33"/>
        <v>8724</v>
      </c>
      <c r="H72" s="226">
        <f t="shared" si="34"/>
        <v>0.28931682714351226</v>
      </c>
      <c r="I72" s="39"/>
      <c r="J72" s="39"/>
      <c r="K72" s="39">
        <v>3996</v>
      </c>
      <c r="T72" s="727"/>
      <c r="U72" s="731"/>
      <c r="V72" s="690"/>
      <c r="W72" s="690"/>
      <c r="X72" s="690"/>
      <c r="Y72" s="690"/>
    </row>
    <row r="73" spans="1:28" x14ac:dyDescent="0.25">
      <c r="A73" s="1">
        <v>43164</v>
      </c>
      <c r="B73" s="188">
        <v>43158</v>
      </c>
      <c r="C73" s="10">
        <v>400</v>
      </c>
      <c r="D73" s="39">
        <v>21.81</v>
      </c>
      <c r="E73" s="39">
        <v>26.82</v>
      </c>
      <c r="F73" s="39">
        <f t="shared" ref="F73" si="35">C73*(E73-D73)</f>
        <v>2004.0000000000007</v>
      </c>
      <c r="G73" s="39">
        <f t="shared" ref="G73" si="36">D73*C73</f>
        <v>8724</v>
      </c>
      <c r="H73" s="226">
        <f t="shared" ref="H73" si="37">(E73-D73)/D73</f>
        <v>0.22971114167812939</v>
      </c>
      <c r="I73" s="39"/>
      <c r="J73" s="39"/>
      <c r="K73" s="39">
        <v>3457</v>
      </c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774</v>
      </c>
      <c r="T76" s="22" t="s">
        <v>773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3" t="s">
        <v>113</v>
      </c>
      <c r="U80" s="693" t="s">
        <v>728</v>
      </c>
      <c r="V80" s="693" t="s">
        <v>729</v>
      </c>
      <c r="W80" s="691" t="s">
        <v>722</v>
      </c>
      <c r="X80" s="691" t="s">
        <v>723</v>
      </c>
      <c r="Y80" s="693" t="s">
        <v>725</v>
      </c>
      <c r="Z80" s="693" t="s">
        <v>726</v>
      </c>
      <c r="AA80" s="691" t="s">
        <v>724</v>
      </c>
      <c r="AB80" s="692" t="s">
        <v>727</v>
      </c>
    </row>
    <row r="81" spans="2:28" x14ac:dyDescent="0.25">
      <c r="T81" s="694">
        <v>43046</v>
      </c>
      <c r="U81" s="690"/>
      <c r="V81" s="690"/>
      <c r="W81" s="689"/>
      <c r="X81" s="689"/>
      <c r="Y81" s="690"/>
      <c r="Z81" s="690"/>
      <c r="AA81" s="687"/>
      <c r="AB81" s="688"/>
    </row>
    <row r="82" spans="2:28" x14ac:dyDescent="0.25">
      <c r="T82" s="733"/>
      <c r="U82" s="690"/>
      <c r="V82" s="690"/>
      <c r="W82" s="689"/>
      <c r="X82" s="687"/>
      <c r="Y82" s="690"/>
      <c r="Z82" s="690"/>
      <c r="AA82" s="687"/>
      <c r="AB82" s="688"/>
    </row>
    <row r="83" spans="2:28" x14ac:dyDescent="0.25">
      <c r="T83" s="695"/>
      <c r="U83" s="690"/>
      <c r="V83" s="690"/>
      <c r="W83" s="687"/>
      <c r="X83" s="687"/>
      <c r="Y83" s="690"/>
      <c r="Z83" s="690"/>
      <c r="AA83" s="687"/>
      <c r="AB83" s="688"/>
    </row>
    <row r="84" spans="2:28" x14ac:dyDescent="0.25">
      <c r="B84" s="497" t="s">
        <v>113</v>
      </c>
      <c r="C84" s="497" t="s">
        <v>146</v>
      </c>
      <c r="D84" s="498" t="s">
        <v>145</v>
      </c>
      <c r="E84" s="499" t="s">
        <v>147</v>
      </c>
      <c r="F84" s="499" t="s">
        <v>65</v>
      </c>
      <c r="G84" s="501" t="s">
        <v>151</v>
      </c>
      <c r="H84" s="501" t="s">
        <v>88</v>
      </c>
      <c r="I84" s="501" t="s">
        <v>154</v>
      </c>
      <c r="T84" s="695"/>
      <c r="U84" s="690"/>
      <c r="V84" s="690"/>
      <c r="W84" s="687"/>
      <c r="X84" s="687"/>
      <c r="Y84" s="690"/>
      <c r="Z84" s="690"/>
      <c r="AA84" s="687"/>
      <c r="AB84" s="688"/>
    </row>
    <row r="85" spans="2:28" x14ac:dyDescent="0.25">
      <c r="B85" s="369">
        <v>42548</v>
      </c>
      <c r="C85" s="370">
        <v>100</v>
      </c>
      <c r="D85" s="371">
        <v>25</v>
      </c>
      <c r="E85" s="371">
        <v>24.69</v>
      </c>
      <c r="F85" s="371">
        <f t="shared" ref="F85:F90" si="38">C85*(E85-D85)</f>
        <v>-30.999999999999872</v>
      </c>
      <c r="G85" s="371">
        <f t="shared" ref="G85:G90" si="39">D85*C85</f>
        <v>2500</v>
      </c>
      <c r="H85" s="372">
        <f t="shared" ref="H85:H90" si="40">(E85-D85)/D85</f>
        <v>-1.2399999999999949E-2</v>
      </c>
      <c r="I85" s="371"/>
      <c r="T85" s="695"/>
      <c r="U85" s="690"/>
      <c r="V85" s="690"/>
      <c r="W85" s="687"/>
      <c r="X85" s="687"/>
      <c r="Y85" s="690"/>
      <c r="Z85" s="690"/>
      <c r="AA85" s="687"/>
      <c r="AB85" s="688"/>
    </row>
    <row r="86" spans="2:28" x14ac:dyDescent="0.25">
      <c r="B86" s="369">
        <v>42549</v>
      </c>
      <c r="C86" s="370">
        <v>100</v>
      </c>
      <c r="D86" s="371">
        <v>25</v>
      </c>
      <c r="E86" s="371">
        <v>25.26</v>
      </c>
      <c r="F86" s="371">
        <f t="shared" si="38"/>
        <v>26.000000000000156</v>
      </c>
      <c r="G86" s="371">
        <f t="shared" si="39"/>
        <v>2500</v>
      </c>
      <c r="H86" s="372">
        <f t="shared" si="40"/>
        <v>1.0400000000000062E-2</v>
      </c>
      <c r="I86" s="371"/>
      <c r="T86" s="695"/>
      <c r="U86" s="690"/>
      <c r="V86" s="690"/>
      <c r="W86" s="687"/>
      <c r="X86" s="687"/>
      <c r="Y86" s="690"/>
      <c r="Z86" s="690"/>
      <c r="AA86" s="687"/>
      <c r="AB86" s="688"/>
    </row>
    <row r="87" spans="2:28" x14ac:dyDescent="0.25">
      <c r="B87" s="369">
        <v>42552</v>
      </c>
      <c r="C87" s="370">
        <v>100</v>
      </c>
      <c r="D87" s="371">
        <v>25</v>
      </c>
      <c r="E87" s="371">
        <v>26.57</v>
      </c>
      <c r="F87" s="371">
        <f t="shared" si="38"/>
        <v>157.00000000000003</v>
      </c>
      <c r="G87" s="371">
        <f t="shared" si="39"/>
        <v>2500</v>
      </c>
      <c r="H87" s="372">
        <f t="shared" si="40"/>
        <v>6.2800000000000009E-2</v>
      </c>
      <c r="I87" s="371"/>
      <c r="T87" s="695"/>
      <c r="U87" s="690"/>
      <c r="V87" s="690"/>
      <c r="W87" s="687"/>
      <c r="X87" s="687"/>
      <c r="Y87" s="690"/>
      <c r="Z87" s="690"/>
      <c r="AA87" s="687"/>
      <c r="AB87" s="688"/>
    </row>
    <row r="88" spans="2:28" x14ac:dyDescent="0.25">
      <c r="B88" s="369">
        <v>42556</v>
      </c>
      <c r="C88" s="370">
        <v>100</v>
      </c>
      <c r="D88" s="371">
        <v>25</v>
      </c>
      <c r="E88" s="371">
        <v>25.47</v>
      </c>
      <c r="F88" s="371">
        <f t="shared" si="38"/>
        <v>46.999999999999886</v>
      </c>
      <c r="G88" s="371">
        <f t="shared" si="39"/>
        <v>2500</v>
      </c>
      <c r="H88" s="372">
        <f t="shared" si="40"/>
        <v>1.8799999999999956E-2</v>
      </c>
      <c r="I88" s="371"/>
      <c r="T88" s="695"/>
      <c r="U88" s="690"/>
      <c r="V88" s="690"/>
      <c r="W88" s="687"/>
      <c r="X88" s="687"/>
      <c r="Y88" s="690"/>
      <c r="Z88" s="690"/>
      <c r="AA88" s="687"/>
      <c r="AB88" s="688"/>
    </row>
    <row r="89" spans="2:28" x14ac:dyDescent="0.25">
      <c r="B89" s="369">
        <v>42562</v>
      </c>
      <c r="C89" s="370">
        <v>100</v>
      </c>
      <c r="D89" s="371">
        <v>25</v>
      </c>
      <c r="E89" s="371">
        <v>25.69</v>
      </c>
      <c r="F89" s="371">
        <f t="shared" si="38"/>
        <v>69.000000000000128</v>
      </c>
      <c r="G89" s="371">
        <f t="shared" si="39"/>
        <v>2500</v>
      </c>
      <c r="H89" s="372">
        <f t="shared" si="40"/>
        <v>2.7600000000000052E-2</v>
      </c>
      <c r="I89" s="371"/>
      <c r="T89" s="695"/>
      <c r="U89" s="690"/>
      <c r="V89" s="690"/>
      <c r="W89" s="687"/>
      <c r="X89" s="687"/>
      <c r="Y89" s="690"/>
      <c r="Z89" s="690"/>
      <c r="AA89" s="687"/>
      <c r="AB89" s="688"/>
    </row>
    <row r="90" spans="2:28" x14ac:dyDescent="0.25">
      <c r="B90" s="369">
        <v>42563</v>
      </c>
      <c r="C90" s="370">
        <v>100</v>
      </c>
      <c r="D90" s="371">
        <v>25</v>
      </c>
      <c r="E90" s="371">
        <v>26.48</v>
      </c>
      <c r="F90" s="371">
        <f t="shared" si="38"/>
        <v>148.00000000000006</v>
      </c>
      <c r="G90" s="371">
        <f t="shared" si="39"/>
        <v>2500</v>
      </c>
      <c r="H90" s="372">
        <f t="shared" si="40"/>
        <v>5.9200000000000016E-2</v>
      </c>
      <c r="I90" s="371"/>
      <c r="T90" s="695"/>
      <c r="U90" s="690"/>
      <c r="V90" s="690"/>
      <c r="W90" s="687"/>
      <c r="X90" s="687"/>
      <c r="Y90" s="690"/>
      <c r="Z90" s="690"/>
      <c r="AA90" s="687"/>
      <c r="AB90" s="688"/>
    </row>
    <row r="91" spans="2:28" x14ac:dyDescent="0.25">
      <c r="B91" s="369">
        <v>42569</v>
      </c>
      <c r="C91" s="370">
        <v>100</v>
      </c>
      <c r="D91" s="371">
        <v>25</v>
      </c>
      <c r="E91" s="371">
        <v>29.28</v>
      </c>
      <c r="F91" s="371">
        <f t="shared" ref="F91:F97" si="41">C91*(E91-D91)</f>
        <v>428.00000000000011</v>
      </c>
      <c r="G91" s="371">
        <f t="shared" ref="G91:G97" si="42">D91*C91</f>
        <v>2500</v>
      </c>
      <c r="H91" s="372">
        <f t="shared" ref="H91:H97" si="43">(E91-D91)/D91</f>
        <v>0.17120000000000005</v>
      </c>
      <c r="I91" s="371"/>
      <c r="T91" s="695"/>
      <c r="U91" s="690"/>
      <c r="V91" s="690"/>
      <c r="W91" s="687"/>
      <c r="X91" s="687"/>
      <c r="Y91" s="690"/>
      <c r="Z91" s="690"/>
      <c r="AA91" s="687"/>
      <c r="AB91" s="688"/>
    </row>
    <row r="92" spans="2:28" x14ac:dyDescent="0.25">
      <c r="B92" s="369">
        <v>42570</v>
      </c>
      <c r="C92" s="370">
        <v>100</v>
      </c>
      <c r="D92" s="371">
        <v>25</v>
      </c>
      <c r="E92" s="371">
        <v>28.68</v>
      </c>
      <c r="F92" s="371">
        <f t="shared" si="41"/>
        <v>368</v>
      </c>
      <c r="G92" s="371">
        <f t="shared" si="42"/>
        <v>2500</v>
      </c>
      <c r="H92" s="372">
        <f t="shared" si="43"/>
        <v>0.1472</v>
      </c>
      <c r="I92" s="371"/>
    </row>
    <row r="93" spans="2:28" x14ac:dyDescent="0.25">
      <c r="B93" s="369">
        <v>42571</v>
      </c>
      <c r="C93" s="370">
        <v>100</v>
      </c>
      <c r="D93" s="371">
        <v>25</v>
      </c>
      <c r="E93" s="371">
        <v>29.01</v>
      </c>
      <c r="F93" s="371">
        <f t="shared" si="41"/>
        <v>401.00000000000017</v>
      </c>
      <c r="G93" s="371">
        <f t="shared" si="42"/>
        <v>2500</v>
      </c>
      <c r="H93" s="372">
        <f t="shared" si="43"/>
        <v>0.16040000000000007</v>
      </c>
      <c r="I93" s="371"/>
    </row>
    <row r="94" spans="2:28" x14ac:dyDescent="0.25">
      <c r="B94" s="369">
        <v>42572</v>
      </c>
      <c r="C94" s="370">
        <v>100</v>
      </c>
      <c r="D94" s="371">
        <v>25</v>
      </c>
      <c r="E94" s="371">
        <v>28.89</v>
      </c>
      <c r="F94" s="371">
        <f t="shared" si="41"/>
        <v>389.00000000000006</v>
      </c>
      <c r="G94" s="371">
        <f t="shared" si="42"/>
        <v>2500</v>
      </c>
      <c r="H94" s="372">
        <f t="shared" si="43"/>
        <v>0.15560000000000002</v>
      </c>
      <c r="I94" s="371"/>
    </row>
    <row r="95" spans="2:28" x14ac:dyDescent="0.25">
      <c r="B95" s="369">
        <v>42576</v>
      </c>
      <c r="C95" s="370">
        <v>100</v>
      </c>
      <c r="D95" s="371">
        <v>25</v>
      </c>
      <c r="E95" s="371">
        <v>28.63</v>
      </c>
      <c r="F95" s="371">
        <f t="shared" si="41"/>
        <v>362.99999999999989</v>
      </c>
      <c r="G95" s="371">
        <f t="shared" si="42"/>
        <v>2500</v>
      </c>
      <c r="H95" s="372">
        <f t="shared" si="43"/>
        <v>0.14519999999999997</v>
      </c>
      <c r="I95" s="371"/>
    </row>
    <row r="96" spans="2:28" x14ac:dyDescent="0.25">
      <c r="B96" s="369">
        <v>42577</v>
      </c>
      <c r="C96" s="370">
        <v>100</v>
      </c>
      <c r="D96" s="371">
        <v>25</v>
      </c>
      <c r="E96" s="371">
        <v>29.34</v>
      </c>
      <c r="F96" s="371">
        <f t="shared" si="41"/>
        <v>434</v>
      </c>
      <c r="G96" s="371">
        <f t="shared" si="42"/>
        <v>2500</v>
      </c>
      <c r="H96" s="372">
        <f t="shared" si="43"/>
        <v>0.1736</v>
      </c>
      <c r="I96" s="371"/>
    </row>
    <row r="97" spans="2:9" x14ac:dyDescent="0.25">
      <c r="B97" s="369">
        <v>42580</v>
      </c>
      <c r="C97" s="370">
        <v>100</v>
      </c>
      <c r="D97" s="371">
        <v>25</v>
      </c>
      <c r="E97" s="371">
        <v>27</v>
      </c>
      <c r="F97" s="371">
        <f t="shared" si="41"/>
        <v>200</v>
      </c>
      <c r="G97" s="371">
        <f t="shared" si="42"/>
        <v>2500</v>
      </c>
      <c r="H97" s="372">
        <f t="shared" si="43"/>
        <v>0.08</v>
      </c>
      <c r="I97" s="371"/>
    </row>
    <row r="98" spans="2:9" x14ac:dyDescent="0.25">
      <c r="B98" s="369">
        <v>42584</v>
      </c>
      <c r="C98" s="370">
        <v>0</v>
      </c>
      <c r="D98" s="371"/>
      <c r="E98" s="371"/>
      <c r="F98" s="371">
        <v>287.94</v>
      </c>
      <c r="G98" s="371"/>
      <c r="H98" s="372"/>
      <c r="I98" s="371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4">C102*(E102-D102)</f>
        <v>-9.9999999999999645</v>
      </c>
      <c r="G102" s="255">
        <f t="shared" ref="G102:G107" si="45">D102*C102</f>
        <v>1287</v>
      </c>
      <c r="H102" s="269">
        <f t="shared" ref="H102:H107" si="46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4"/>
        <v>-45.999999999999908</v>
      </c>
      <c r="G103" s="255">
        <f t="shared" si="45"/>
        <v>1287</v>
      </c>
      <c r="H103" s="269">
        <f t="shared" si="46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4"/>
        <v>-82.000000000000028</v>
      </c>
      <c r="G104" s="255">
        <f t="shared" si="45"/>
        <v>2496</v>
      </c>
      <c r="H104" s="269">
        <f t="shared" si="46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4"/>
        <v>-99.000000000000028</v>
      </c>
      <c r="G105" s="255">
        <f t="shared" si="45"/>
        <v>3720</v>
      </c>
      <c r="H105" s="269">
        <f t="shared" si="46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4"/>
        <v>-121.50000000000034</v>
      </c>
      <c r="G106" s="255">
        <f t="shared" si="45"/>
        <v>3720</v>
      </c>
      <c r="H106" s="269">
        <f t="shared" si="46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4"/>
        <v>-50.999999999999979</v>
      </c>
      <c r="G107" s="255">
        <f t="shared" si="45"/>
        <v>3720</v>
      </c>
      <c r="H107" s="269">
        <f t="shared" si="46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7">C108*(E108-D108)</f>
        <v>13.499999999999979</v>
      </c>
      <c r="G108" s="255">
        <f t="shared" ref="G108:G119" si="48">D108*C108</f>
        <v>3720</v>
      </c>
      <c r="H108" s="269">
        <f t="shared" ref="H108:H119" si="49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7"/>
        <v>40.499999999999936</v>
      </c>
      <c r="G109" s="255">
        <f t="shared" si="48"/>
        <v>3720</v>
      </c>
      <c r="H109" s="269">
        <f t="shared" si="49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7"/>
        <v>7.5000000000001066</v>
      </c>
      <c r="G110" s="255">
        <f t="shared" si="48"/>
        <v>3720</v>
      </c>
      <c r="H110" s="269">
        <f t="shared" si="49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7"/>
        <v>-33.000000000000362</v>
      </c>
      <c r="G111" s="255">
        <f t="shared" si="48"/>
        <v>3720</v>
      </c>
      <c r="H111" s="269">
        <f t="shared" si="49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7"/>
        <v>-211.50000000000003</v>
      </c>
      <c r="G112" s="255">
        <f t="shared" si="48"/>
        <v>3720</v>
      </c>
      <c r="H112" s="269">
        <f t="shared" si="49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7"/>
        <v>-144.00000000000011</v>
      </c>
      <c r="G113" s="255">
        <f t="shared" si="48"/>
        <v>3720</v>
      </c>
      <c r="H113" s="269">
        <f t="shared" si="49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7"/>
        <v>-73.500000000000298</v>
      </c>
      <c r="G114" s="255">
        <f t="shared" si="48"/>
        <v>3720</v>
      </c>
      <c r="H114" s="269">
        <f t="shared" si="49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7"/>
        <v>-104.53499999999991</v>
      </c>
      <c r="G115" s="255">
        <f t="shared" si="48"/>
        <v>3694.0349999999999</v>
      </c>
      <c r="H115" s="269">
        <f t="shared" si="49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7"/>
        <v>-164.53499999999968</v>
      </c>
      <c r="G116" s="255">
        <f t="shared" si="48"/>
        <v>3694.0349999999999</v>
      </c>
      <c r="H116" s="269">
        <f t="shared" si="49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7"/>
        <v>8.2949999999998525</v>
      </c>
      <c r="G117" s="255">
        <f t="shared" si="48"/>
        <v>3639.7050000000004</v>
      </c>
      <c r="H117" s="269">
        <f t="shared" si="49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7"/>
        <v>69.794999999999874</v>
      </c>
      <c r="G118" s="255">
        <f t="shared" si="48"/>
        <v>3639.7050000000004</v>
      </c>
      <c r="H118" s="269">
        <f t="shared" si="49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7"/>
        <v>589.25999999999976</v>
      </c>
      <c r="G119" s="255">
        <f t="shared" si="48"/>
        <v>2250.7400000000002</v>
      </c>
      <c r="H119" s="269">
        <f t="shared" si="49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59" t="s">
        <v>1</v>
      </c>
      <c r="B128" s="459" t="s">
        <v>2</v>
      </c>
      <c r="C128" s="459" t="s">
        <v>4</v>
      </c>
      <c r="D128" s="460" t="s">
        <v>5</v>
      </c>
      <c r="E128" s="460" t="s">
        <v>94</v>
      </c>
      <c r="F128" s="460" t="s">
        <v>60</v>
      </c>
      <c r="G128" s="459" t="s">
        <v>3</v>
      </c>
      <c r="H128" s="459" t="s">
        <v>6</v>
      </c>
      <c r="I128" s="460" t="s">
        <v>7</v>
      </c>
      <c r="J128" s="460" t="s">
        <v>95</v>
      </c>
      <c r="K128" s="460" t="s">
        <v>61</v>
      </c>
      <c r="L128" s="459" t="s">
        <v>37</v>
      </c>
      <c r="M128" s="459" t="s">
        <v>38</v>
      </c>
    </row>
    <row r="129" spans="1:13" x14ac:dyDescent="0.25">
      <c r="A129" s="461" t="s">
        <v>227</v>
      </c>
      <c r="B129" s="462">
        <v>42548</v>
      </c>
      <c r="C129" s="463">
        <v>100</v>
      </c>
      <c r="D129" s="464">
        <v>25</v>
      </c>
      <c r="E129" s="464">
        <v>0</v>
      </c>
      <c r="F129" s="464">
        <f>D129*C129+E129</f>
        <v>2500</v>
      </c>
      <c r="G129" s="462">
        <v>42584</v>
      </c>
      <c r="H129" s="465">
        <v>100</v>
      </c>
      <c r="I129" s="464">
        <v>27.88</v>
      </c>
      <c r="J129" s="464">
        <v>0.06</v>
      </c>
      <c r="K129" s="464">
        <f>H129*I129-J129</f>
        <v>2787.94</v>
      </c>
      <c r="L129" s="462">
        <v>42719</v>
      </c>
      <c r="M129" s="463">
        <v>41.25</v>
      </c>
    </row>
    <row r="130" spans="1:13" x14ac:dyDescent="0.25">
      <c r="A130" s="466" t="s">
        <v>71</v>
      </c>
      <c r="B130" s="462">
        <v>42627</v>
      </c>
      <c r="C130" s="463">
        <v>50</v>
      </c>
      <c r="D130" s="464">
        <v>25.74</v>
      </c>
      <c r="E130" s="464">
        <v>0</v>
      </c>
      <c r="F130" s="464">
        <v>1287</v>
      </c>
      <c r="G130" s="462" t="s">
        <v>345</v>
      </c>
      <c r="H130" s="465">
        <v>50</v>
      </c>
      <c r="I130" s="464">
        <v>25</v>
      </c>
      <c r="J130" s="464">
        <v>0.03</v>
      </c>
      <c r="K130" s="464">
        <v>1249.97</v>
      </c>
      <c r="L130" s="463"/>
      <c r="M130" s="463"/>
    </row>
    <row r="131" spans="1:13" x14ac:dyDescent="0.25">
      <c r="A131" s="463"/>
      <c r="B131" s="462">
        <v>42639</v>
      </c>
      <c r="C131" s="463">
        <v>50</v>
      </c>
      <c r="D131" s="464">
        <v>24.48</v>
      </c>
      <c r="E131" s="464">
        <v>0</v>
      </c>
      <c r="F131" s="464">
        <v>1224</v>
      </c>
      <c r="G131" s="462" t="s">
        <v>345</v>
      </c>
      <c r="H131" s="465">
        <v>100</v>
      </c>
      <c r="I131" s="464">
        <v>24.88</v>
      </c>
      <c r="J131" s="464">
        <v>0.05</v>
      </c>
      <c r="K131" s="464">
        <v>2487.9499999999998</v>
      </c>
      <c r="L131" s="463"/>
      <c r="M131" s="463"/>
    </row>
    <row r="132" spans="1:13" x14ac:dyDescent="0.25">
      <c r="A132" s="463"/>
      <c r="B132" s="462">
        <v>42639</v>
      </c>
      <c r="C132" s="463">
        <v>50</v>
      </c>
      <c r="D132" s="464">
        <v>24.18</v>
      </c>
      <c r="E132" s="464">
        <v>0</v>
      </c>
      <c r="F132" s="464">
        <v>1209</v>
      </c>
      <c r="G132" s="462" t="s">
        <v>345</v>
      </c>
      <c r="H132" s="465">
        <v>50</v>
      </c>
      <c r="I132" s="464">
        <v>27.78</v>
      </c>
      <c r="J132" s="464">
        <v>0.03</v>
      </c>
      <c r="K132" s="464">
        <v>1388.97</v>
      </c>
      <c r="L132" s="463"/>
      <c r="M132" s="463"/>
    </row>
    <row r="133" spans="1:13" x14ac:dyDescent="0.25">
      <c r="A133" s="463"/>
      <c r="B133" s="462">
        <v>42670</v>
      </c>
      <c r="C133" s="463">
        <v>50</v>
      </c>
      <c r="D133" s="464">
        <v>24.48</v>
      </c>
      <c r="E133" s="464">
        <v>0</v>
      </c>
      <c r="F133" s="464">
        <v>1224</v>
      </c>
      <c r="G133" s="462" t="s">
        <v>345</v>
      </c>
      <c r="H133" s="465">
        <v>100</v>
      </c>
      <c r="I133" s="464">
        <v>29.78</v>
      </c>
      <c r="J133" s="464">
        <v>0.06</v>
      </c>
      <c r="K133" s="464">
        <v>2977.94</v>
      </c>
      <c r="L133" s="463"/>
      <c r="M133" s="463"/>
    </row>
    <row r="134" spans="1:13" x14ac:dyDescent="0.25">
      <c r="A134" s="463"/>
      <c r="B134" s="462" t="s">
        <v>345</v>
      </c>
      <c r="C134" s="463">
        <v>100</v>
      </c>
      <c r="D134" s="464">
        <v>24.34</v>
      </c>
      <c r="E134" s="464">
        <v>-0.37</v>
      </c>
      <c r="F134" s="464">
        <v>2433.63</v>
      </c>
      <c r="G134" s="463"/>
      <c r="H134" s="465"/>
      <c r="I134" s="464"/>
      <c r="J134" s="464"/>
      <c r="K134" s="464"/>
      <c r="L134" s="463"/>
      <c r="M134" s="463"/>
    </row>
    <row r="135" spans="1:13" x14ac:dyDescent="0.25">
      <c r="A135" s="463"/>
      <c r="B135" s="509">
        <v>42723</v>
      </c>
      <c r="C135" s="510">
        <v>100</v>
      </c>
      <c r="D135" s="512">
        <v>27.98</v>
      </c>
      <c r="E135" s="512">
        <v>0</v>
      </c>
      <c r="F135" s="512">
        <f>D135*C135+E135</f>
        <v>2798</v>
      </c>
      <c r="G135" s="509">
        <v>42724</v>
      </c>
      <c r="H135" s="510">
        <v>100</v>
      </c>
      <c r="I135" s="512">
        <v>27.94</v>
      </c>
      <c r="J135" s="512">
        <v>0.06</v>
      </c>
      <c r="K135" s="512">
        <f>I135*H135-J135</f>
        <v>2793.94</v>
      </c>
      <c r="L135" s="463"/>
      <c r="M135" s="463"/>
    </row>
    <row r="136" spans="1:13" x14ac:dyDescent="0.25">
      <c r="A136" s="463"/>
      <c r="B136" s="444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4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3"/>
      <c r="M136" s="463"/>
    </row>
    <row r="137" spans="1:13" x14ac:dyDescent="0.25">
      <c r="A137" s="463"/>
      <c r="B137" s="463"/>
      <c r="C137" s="463"/>
      <c r="D137" s="464"/>
      <c r="E137" s="464"/>
      <c r="F137" s="464"/>
      <c r="G137" s="463"/>
      <c r="H137" s="465"/>
      <c r="I137" s="464"/>
      <c r="J137" s="464"/>
      <c r="K137" s="464"/>
      <c r="L137" s="463"/>
      <c r="M137" s="463"/>
    </row>
    <row r="138" spans="1:13" x14ac:dyDescent="0.25">
      <c r="A138" s="463"/>
      <c r="B138" s="463"/>
      <c r="C138" s="463"/>
      <c r="D138" s="464"/>
      <c r="E138" s="464"/>
      <c r="F138" s="464"/>
      <c r="G138" s="463"/>
      <c r="H138" s="465"/>
      <c r="I138" s="464"/>
      <c r="J138" s="464"/>
      <c r="K138" s="464"/>
      <c r="L138" s="463"/>
      <c r="M138" s="463"/>
    </row>
    <row r="139" spans="1:13" x14ac:dyDescent="0.25">
      <c r="A139" s="463"/>
      <c r="B139" s="463"/>
      <c r="C139" s="463"/>
      <c r="D139" s="464"/>
      <c r="E139" s="464"/>
      <c r="F139" s="464"/>
      <c r="G139" s="463"/>
      <c r="H139" s="465"/>
      <c r="I139" s="464"/>
      <c r="J139" s="464"/>
      <c r="K139" s="464"/>
      <c r="L139" s="463"/>
      <c r="M139" s="463"/>
    </row>
    <row r="140" spans="1:13" x14ac:dyDescent="0.25">
      <c r="A140" s="463"/>
      <c r="B140" s="463"/>
      <c r="C140" s="463"/>
      <c r="D140" s="464"/>
      <c r="E140" s="464"/>
      <c r="F140" s="464"/>
      <c r="G140" s="463"/>
      <c r="H140" s="465"/>
      <c r="I140" s="464"/>
      <c r="J140" s="464"/>
      <c r="K140" s="464"/>
      <c r="L140" s="463"/>
      <c r="M140" s="463"/>
    </row>
    <row r="141" spans="1:13" x14ac:dyDescent="0.25">
      <c r="A141" s="463"/>
      <c r="B141" s="463"/>
      <c r="C141" s="463"/>
      <c r="D141" s="464"/>
      <c r="E141" s="464"/>
      <c r="F141" s="464"/>
      <c r="G141" s="463"/>
      <c r="H141" s="465"/>
      <c r="I141" s="464"/>
      <c r="J141" s="464"/>
      <c r="K141" s="464"/>
      <c r="L141" s="463"/>
      <c r="M141" s="463"/>
    </row>
    <row r="142" spans="1:13" x14ac:dyDescent="0.25">
      <c r="A142" s="463"/>
      <c r="B142" s="463"/>
      <c r="C142" s="463"/>
      <c r="D142" s="464"/>
      <c r="E142" s="464"/>
      <c r="F142" s="464"/>
      <c r="G142" s="463"/>
      <c r="H142" s="465"/>
      <c r="I142" s="464"/>
      <c r="J142" s="464"/>
      <c r="K142" s="464"/>
      <c r="L142" s="463"/>
      <c r="M142" s="463"/>
    </row>
    <row r="143" spans="1:13" x14ac:dyDescent="0.25">
      <c r="A143" s="463"/>
      <c r="B143" s="463"/>
      <c r="C143" s="463"/>
      <c r="D143" s="464"/>
      <c r="E143" s="464"/>
      <c r="F143" s="464"/>
      <c r="G143" s="463"/>
      <c r="H143" s="465"/>
      <c r="I143" s="464"/>
      <c r="J143" s="464"/>
      <c r="K143" s="464"/>
      <c r="L143" s="463"/>
      <c r="M143" s="463"/>
    </row>
    <row r="144" spans="1:13" x14ac:dyDescent="0.25">
      <c r="A144" s="463"/>
      <c r="B144" s="463"/>
      <c r="C144" s="463"/>
      <c r="D144" s="464"/>
      <c r="E144" s="464"/>
      <c r="F144" s="464"/>
      <c r="G144" s="463"/>
      <c r="H144" s="463"/>
      <c r="I144" s="464"/>
      <c r="J144" s="464"/>
      <c r="K144" s="464"/>
      <c r="L144" s="463"/>
      <c r="M144" s="463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8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7" t="s">
        <v>194</v>
      </c>
      <c r="B146" s="468"/>
      <c r="C146" s="469">
        <f>SumByColor($A$23,C129:C144)</f>
        <v>100</v>
      </c>
      <c r="D146" s="469"/>
      <c r="E146" s="469"/>
      <c r="F146" s="470">
        <f>SumByColor($A$23,F129:F144)</f>
        <v>2758</v>
      </c>
      <c r="G146" s="469"/>
      <c r="H146" s="469">
        <f>SumByColor($A$23,H129:H144)</f>
        <v>100</v>
      </c>
      <c r="I146" s="469"/>
      <c r="J146" s="469"/>
      <c r="K146" s="470">
        <f>SumByColor($A$23,K129:K144)</f>
        <v>3158</v>
      </c>
      <c r="L146" s="469"/>
      <c r="M146" s="470">
        <f>SumByColor($A$23,M129:M144)</f>
        <v>0</v>
      </c>
    </row>
  </sheetData>
  <mergeCells count="1">
    <mergeCell ref="O14:P14"/>
  </mergeCells>
  <conditionalFormatting sqref="O15:O3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1403" priority="46">
      <formula>F98&gt;0</formula>
    </cfRule>
    <cfRule type="expression" dxfId="1402" priority="47">
      <formula>F98&lt;0</formula>
    </cfRule>
  </conditionalFormatting>
  <conditionalFormatting sqref="Q7">
    <cfRule type="expression" dxfId="1401" priority="34">
      <formula>Q7&gt;0</formula>
    </cfRule>
    <cfRule type="expression" dxfId="1400" priority="35">
      <formula>Q7&lt;0</formula>
    </cfRule>
  </conditionalFormatting>
  <conditionalFormatting sqref="Q8">
    <cfRule type="expression" dxfId="1399" priority="32">
      <formula>Q8&gt;0</formula>
    </cfRule>
    <cfRule type="expression" dxfId="1398" priority="33">
      <formula>Q8&lt;0</formula>
    </cfRule>
  </conditionalFormatting>
  <conditionalFormatting sqref="F85:F97">
    <cfRule type="expression" dxfId="1397" priority="30">
      <formula>F85&gt;0</formula>
    </cfRule>
    <cfRule type="expression" dxfId="1396" priority="31">
      <formula>F85&lt;0</formula>
    </cfRule>
  </conditionalFormatting>
  <conditionalFormatting sqref="H85:H97">
    <cfRule type="expression" dxfId="1395" priority="28">
      <formula>H85&gt;0</formula>
    </cfRule>
    <cfRule type="expression" dxfId="1394" priority="29">
      <formula>H85&lt;0</formula>
    </cfRule>
  </conditionalFormatting>
  <conditionalFormatting sqref="H101:H104">
    <cfRule type="expression" dxfId="1393" priority="24">
      <formula>H101&gt;0</formula>
    </cfRule>
    <cfRule type="expression" dxfId="1392" priority="25">
      <formula>H101&lt;0</formula>
    </cfRule>
  </conditionalFormatting>
  <conditionalFormatting sqref="F101:F104">
    <cfRule type="expression" dxfId="1391" priority="26">
      <formula>F101&gt;0</formula>
    </cfRule>
    <cfRule type="expression" dxfId="1390" priority="27">
      <formula>F101&lt;0</formula>
    </cfRule>
  </conditionalFormatting>
  <conditionalFormatting sqref="M127">
    <cfRule type="expression" dxfId="1389" priority="22">
      <formula>M127&gt;0</formula>
    </cfRule>
    <cfRule type="expression" dxfId="1388" priority="23">
      <formula>M127&lt;0</formula>
    </cfRule>
  </conditionalFormatting>
  <conditionalFormatting sqref="F27:F28 F35:F72 F74:F80">
    <cfRule type="expression" dxfId="1387" priority="20">
      <formula>F27&gt;0</formula>
    </cfRule>
    <cfRule type="expression" dxfId="1386" priority="21">
      <formula>F27&lt;0</formula>
    </cfRule>
  </conditionalFormatting>
  <conditionalFormatting sqref="H27:H28 H35:H72 H74:H80">
    <cfRule type="expression" dxfId="1385" priority="18">
      <formula>H27&gt;0</formula>
    </cfRule>
    <cfRule type="expression" dxfId="1384" priority="19">
      <formula>H27&lt;0</formula>
    </cfRule>
  </conditionalFormatting>
  <conditionalFormatting sqref="Q10">
    <cfRule type="expression" dxfId="1383" priority="16">
      <formula>Q10&gt;0</formula>
    </cfRule>
    <cfRule type="expression" dxfId="1382" priority="17">
      <formula>Q10&lt;0</formula>
    </cfRule>
  </conditionalFormatting>
  <conditionalFormatting sqref="F29:F34">
    <cfRule type="expression" dxfId="1381" priority="14">
      <formula>F29&gt;0</formula>
    </cfRule>
    <cfRule type="expression" dxfId="1380" priority="15">
      <formula>F29&lt;0</formula>
    </cfRule>
  </conditionalFormatting>
  <conditionalFormatting sqref="H29:H34">
    <cfRule type="expression" dxfId="1379" priority="12">
      <formula>H29&gt;0</formula>
    </cfRule>
    <cfRule type="expression" dxfId="1378" priority="13">
      <formula>H29&lt;0</formula>
    </cfRule>
  </conditionalFormatting>
  <conditionalFormatting sqref="K32:K39">
    <cfRule type="expression" dxfId="1377" priority="10">
      <formula>K32&gt;0</formula>
    </cfRule>
    <cfRule type="expression" dxfId="1376" priority="11">
      <formula>K32&lt;0</formula>
    </cfRule>
  </conditionalFormatting>
  <conditionalFormatting sqref="K40:K72 K74:K80">
    <cfRule type="expression" dxfId="1375" priority="8">
      <formula>K40&gt;0</formula>
    </cfRule>
    <cfRule type="expression" dxfId="1374" priority="9">
      <formula>K40&lt;0</formula>
    </cfRule>
  </conditionalFormatting>
  <conditionalFormatting sqref="AB80:AB91">
    <cfRule type="iconSet" priority="7">
      <iconSet iconSet="3Arrows">
        <cfvo type="percent" val="0"/>
        <cfvo type="num" val="0"/>
        <cfvo type="num" val="0"/>
      </iconSet>
    </cfRule>
  </conditionalFormatting>
  <conditionalFormatting sqref="F73">
    <cfRule type="expression" dxfId="1373" priority="5">
      <formula>F73&gt;0</formula>
    </cfRule>
    <cfRule type="expression" dxfId="1372" priority="6">
      <formula>F73&lt;0</formula>
    </cfRule>
  </conditionalFormatting>
  <conditionalFormatting sqref="H73">
    <cfRule type="expression" dxfId="1371" priority="3">
      <formula>H73&gt;0</formula>
    </cfRule>
    <cfRule type="expression" dxfId="1370" priority="4">
      <formula>H73&lt;0</formula>
    </cfRule>
  </conditionalFormatting>
  <conditionalFormatting sqref="K73">
    <cfRule type="expression" dxfId="1369" priority="1">
      <formula>K73&gt;0</formula>
    </cfRule>
    <cfRule type="expression" dxfId="1368" priority="2">
      <formula>K73&lt;0</formula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58.64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58.64</v>
      </c>
      <c r="R4" s="486">
        <v>-1.0999999999999999E-2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530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64.504000000000005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63.917600000000007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63.331200000000003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62.744800000000005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62.1584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61.572000000000003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60.985600000000005</v>
      </c>
      <c r="Q47" s="2"/>
      <c r="T47" s="91" t="s">
        <v>322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60.3992</v>
      </c>
      <c r="Q48" s="2"/>
      <c r="T48" s="91" t="s">
        <v>323</v>
      </c>
      <c r="U48" s="86" t="s">
        <v>514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59.812800000000003</v>
      </c>
      <c r="Q49" s="2"/>
      <c r="T49" s="91" t="s">
        <v>324</v>
      </c>
      <c r="U49" s="43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59.226399999999998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58.64</v>
      </c>
      <c r="Q51" s="2"/>
      <c r="T51" s="91" t="s">
        <v>104</v>
      </c>
      <c r="U51" s="86" t="s">
        <v>631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58.053600000000003</v>
      </c>
      <c r="Q52" s="2"/>
      <c r="T52" s="91" t="s">
        <v>105</v>
      </c>
      <c r="U52" s="86" t="s">
        <v>529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57.467199999999998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56.880800000000001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56.294399999999996</v>
      </c>
      <c r="T55" s="91" t="s">
        <v>325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55.707999999999998</v>
      </c>
      <c r="T56" s="91" t="s">
        <v>326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55.121600000000001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54.535200000000003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53.948800000000006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53.362400000000001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52.776000000000003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49" t="s">
        <v>194</v>
      </c>
      <c r="B72" s="450"/>
      <c r="C72" s="451">
        <f>SumByColor($A$19,C55:C70)</f>
        <v>0</v>
      </c>
      <c r="D72" s="451"/>
      <c r="E72" s="451"/>
      <c r="F72" s="452">
        <f>SumByColor($A$19,F55:F70)</f>
        <v>0</v>
      </c>
      <c r="G72" s="451"/>
      <c r="H72" s="451">
        <f>SumByColor($A$19,H55:H70)</f>
        <v>0</v>
      </c>
      <c r="I72" s="451"/>
      <c r="J72" s="451"/>
      <c r="K72" s="452">
        <f>SumByColor($A$19,K55:K70)</f>
        <v>0</v>
      </c>
      <c r="L72" s="451"/>
      <c r="M72" s="45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356" priority="9">
      <formula>F39&gt;0</formula>
    </cfRule>
    <cfRule type="expression" dxfId="1355" priority="10">
      <formula>F39&lt;0</formula>
    </cfRule>
  </conditionalFormatting>
  <conditionalFormatting sqref="F25:F38">
    <cfRule type="expression" dxfId="1354" priority="7">
      <formula>F25&gt;0</formula>
    </cfRule>
    <cfRule type="expression" dxfId="1353" priority="8">
      <formula>F25&lt;0</formula>
    </cfRule>
  </conditionalFormatting>
  <conditionalFormatting sqref="H25:H38">
    <cfRule type="expression" dxfId="1352" priority="5">
      <formula>H25&gt;0</formula>
    </cfRule>
    <cfRule type="expression" dxfId="1351" priority="6">
      <formula>H25&lt;0</formula>
    </cfRule>
  </conditionalFormatting>
  <conditionalFormatting sqref="Q7">
    <cfRule type="expression" dxfId="1350" priority="3">
      <formula>Q7&gt;0</formula>
    </cfRule>
    <cfRule type="expression" dxfId="1349" priority="4">
      <formula>Q7&lt;0</formula>
    </cfRule>
  </conditionalFormatting>
  <conditionalFormatting sqref="Q8">
    <cfRule type="expression" dxfId="1348" priority="1">
      <formula>Q8&gt;0</formula>
    </cfRule>
    <cfRule type="expression" dxfId="1347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871</v>
      </c>
      <c r="B2" s="485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318.41000000000003</v>
      </c>
      <c r="R4" s="508">
        <v>-2.3E-3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3184.1000000000004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1129.0400000000004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672.10000000000036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0.2675557324840766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11" t="s">
        <v>78</v>
      </c>
      <c r="P14" s="811"/>
      <c r="W14" s="134"/>
    </row>
    <row r="15" spans="1:23" ht="15.75" thickTop="1" x14ac:dyDescent="0.25">
      <c r="H15" s="70"/>
      <c r="O15" s="81">
        <v>1.1000000000000001</v>
      </c>
      <c r="P15" s="81">
        <f>O15*$Q$4</f>
        <v>350.25100000000003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347.06690000000003</v>
      </c>
      <c r="W16" s="134"/>
    </row>
    <row r="17" spans="1:23" x14ac:dyDescent="0.25">
      <c r="O17" s="81">
        <v>1.08</v>
      </c>
      <c r="P17" s="81">
        <f t="shared" si="0"/>
        <v>343.88280000000003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340.69870000000003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337.51460000000003</v>
      </c>
      <c r="W19" s="134"/>
    </row>
    <row r="20" spans="1:23" x14ac:dyDescent="0.25">
      <c r="O20" s="81">
        <v>1.05</v>
      </c>
      <c r="P20" s="81">
        <f t="shared" si="0"/>
        <v>334.33050000000003</v>
      </c>
      <c r="W20" s="134"/>
    </row>
    <row r="21" spans="1:23" x14ac:dyDescent="0.25">
      <c r="O21" s="81">
        <v>1.04</v>
      </c>
      <c r="P21" s="81">
        <f t="shared" si="0"/>
        <v>331.14640000000003</v>
      </c>
      <c r="W21" s="134"/>
    </row>
    <row r="22" spans="1:23" x14ac:dyDescent="0.25">
      <c r="O22" s="81">
        <v>1.03</v>
      </c>
      <c r="P22" s="81">
        <f t="shared" si="0"/>
        <v>327.96230000000003</v>
      </c>
      <c r="W22" s="134"/>
    </row>
    <row r="23" spans="1:23" x14ac:dyDescent="0.25">
      <c r="O23" s="81">
        <v>1.02</v>
      </c>
      <c r="P23" s="81">
        <f t="shared" si="0"/>
        <v>324.77820000000003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 t="s">
        <v>178</v>
      </c>
      <c r="L24" s="224"/>
      <c r="O24" s="81">
        <v>1.01</v>
      </c>
      <c r="P24" s="81">
        <f t="shared" si="0"/>
        <v>321.59410000000003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318.41000000000003</v>
      </c>
      <c r="W25" s="134"/>
    </row>
    <row r="26" spans="1:23" x14ac:dyDescent="0.25">
      <c r="B26" s="188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6">
        <f t="shared" ref="H26" si="6">(E26-D26)/D26</f>
        <v>0.26421178343949048</v>
      </c>
      <c r="I26" s="39"/>
      <c r="J26" s="39"/>
      <c r="K26" s="39">
        <v>1121</v>
      </c>
      <c r="L26" s="158"/>
      <c r="O26" s="81">
        <v>0.99</v>
      </c>
      <c r="P26" s="81">
        <f t="shared" si="0"/>
        <v>315.22590000000002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312.04180000000002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308.85770000000002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305.67360000000002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302.48950000000002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299.30540000000002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296.12130000000002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292.93720000000002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289.75310000000002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286.56900000000002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871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10</v>
      </c>
      <c r="D84" s="531"/>
      <c r="E84" s="531"/>
      <c r="F84" s="531">
        <f>SUM(F68:F72)</f>
        <v>2889.78</v>
      </c>
      <c r="G84" s="530"/>
      <c r="H84" s="552">
        <f>SUM(H68:H71)</f>
        <v>10</v>
      </c>
      <c r="I84" s="531"/>
      <c r="J84" s="531"/>
      <c r="K84" s="531">
        <f>SUM(K68:K71)</f>
        <v>3346.7200000000003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346" priority="29">
      <formula>F29&gt;0</formula>
    </cfRule>
    <cfRule type="expression" dxfId="1345" priority="30">
      <formula>F29&lt;0</formula>
    </cfRule>
  </conditionalFormatting>
  <conditionalFormatting sqref="Q7">
    <cfRule type="expression" dxfId="1344" priority="27">
      <formula>Q7&gt;0</formula>
    </cfRule>
    <cfRule type="expression" dxfId="1343" priority="28">
      <formula>Q7&lt;0</formula>
    </cfRule>
  </conditionalFormatting>
  <conditionalFormatting sqref="Q8">
    <cfRule type="expression" dxfId="1342" priority="25">
      <formula>Q8&gt;0</formula>
    </cfRule>
    <cfRule type="expression" dxfId="1341" priority="26">
      <formula>Q8&lt;0</formula>
    </cfRule>
  </conditionalFormatting>
  <conditionalFormatting sqref="F96:F110">
    <cfRule type="expression" dxfId="1340" priority="19">
      <formula>F96&gt;0</formula>
    </cfRule>
    <cfRule type="expression" dxfId="1339" priority="20">
      <formula>F96&lt;0</formula>
    </cfRule>
  </conditionalFormatting>
  <conditionalFormatting sqref="H96:H110">
    <cfRule type="expression" dxfId="1338" priority="17">
      <formula>H96&gt;0</formula>
    </cfRule>
    <cfRule type="expression" dxfId="1337" priority="18">
      <formula>H96&lt;0</formula>
    </cfRule>
  </conditionalFormatting>
  <conditionalFormatting sqref="Q10">
    <cfRule type="expression" dxfId="1336" priority="15">
      <formula>Q10&gt;0</formula>
    </cfRule>
    <cfRule type="expression" dxfId="1335" priority="16">
      <formula>Q10&lt;0</formula>
    </cfRule>
  </conditionalFormatting>
  <conditionalFormatting sqref="L29:L38">
    <cfRule type="expression" dxfId="1334" priority="9">
      <formula>L29&gt;0</formula>
    </cfRule>
    <cfRule type="expression" dxfId="1333" priority="10">
      <formula>L29&lt;0</formula>
    </cfRule>
  </conditionalFormatting>
  <conditionalFormatting sqref="F27:F29 H27:H29 J25:K29">
    <cfRule type="expression" dxfId="1332" priority="7">
      <formula>F25&gt;0</formula>
    </cfRule>
    <cfRule type="expression" dxfId="1331" priority="8">
      <formula>F25&lt;0</formula>
    </cfRule>
  </conditionalFormatting>
  <conditionalFormatting sqref="L25:L29">
    <cfRule type="expression" dxfId="1330" priority="5">
      <formula>L25&gt;0</formula>
    </cfRule>
    <cfRule type="expression" dxfId="1329" priority="6">
      <formula>L25&lt;0</formula>
    </cfRule>
  </conditionalFormatting>
  <conditionalFormatting sqref="F25:F26">
    <cfRule type="expression" dxfId="1328" priority="3">
      <formula>F25&gt;0</formula>
    </cfRule>
    <cfRule type="expression" dxfId="1327" priority="4">
      <formula>F25&lt;0</formula>
    </cfRule>
  </conditionalFormatting>
  <conditionalFormatting sqref="H25:H26">
    <cfRule type="expression" dxfId="1326" priority="1">
      <formula>H25&gt;0</formula>
    </cfRule>
    <cfRule type="expression" dxfId="1325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899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>
        <v>43146</v>
      </c>
      <c r="M2" s="43">
        <v>22.8</v>
      </c>
      <c r="O2" s="11" t="s">
        <v>57</v>
      </c>
      <c r="Q2">
        <f>C18-H18</f>
        <v>40</v>
      </c>
      <c r="T2" s="1"/>
      <c r="U2" t="s">
        <v>936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89.509999999999991</v>
      </c>
      <c r="T3" s="1">
        <v>43114</v>
      </c>
      <c r="U3" t="s">
        <v>937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95.57</v>
      </c>
      <c r="R4" s="508">
        <v>-1.72E-2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3822.7999999999997</v>
      </c>
      <c r="T5" s="1">
        <v>43121</v>
      </c>
      <c r="U5" t="s">
        <v>956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3580.3999999999996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242.40000000000009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242.40000000000009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6.7701932744944737E-2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2.3856858846918488E-2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22.8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23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>
        <v>43147</v>
      </c>
      <c r="C26" s="10">
        <v>40</v>
      </c>
      <c r="D26" s="39">
        <v>89.51</v>
      </c>
      <c r="E26" s="39">
        <v>98.85</v>
      </c>
      <c r="F26" s="39">
        <f t="shared" ref="F26" si="3">C26*(E26-D26)</f>
        <v>373.59999999999957</v>
      </c>
      <c r="G26" s="39">
        <f t="shared" ref="G26" si="4">D26*C26</f>
        <v>3580.4</v>
      </c>
      <c r="H26" s="226">
        <f t="shared" ref="H26" si="5">(E26-D26)/D26</f>
        <v>0.1043458831415483</v>
      </c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105.127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104.1713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103.21559999999999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102.2599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101.30419999999999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100.3485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99.392799999999994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98.437100000000001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97.481399999999994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96.525700000000001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95.57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94.614299999999986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93.658599999999993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92.702899999999985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91.747199999999992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90.791499999999985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89.835799999999992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88.880099999999999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87.924399999999991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86.968699999999998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86.012999999999991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899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24" priority="21">
      <formula>F47&gt;0</formula>
    </cfRule>
    <cfRule type="expression" dxfId="1323" priority="22">
      <formula>F47&lt;0</formula>
    </cfRule>
  </conditionalFormatting>
  <conditionalFormatting sqref="Q7">
    <cfRule type="expression" dxfId="1322" priority="19">
      <formula>Q7&gt;0</formula>
    </cfRule>
    <cfRule type="expression" dxfId="1321" priority="20">
      <formula>Q7&lt;0</formula>
    </cfRule>
  </conditionalFormatting>
  <conditionalFormatting sqref="Q8">
    <cfRule type="expression" dxfId="1320" priority="17">
      <formula>Q8&gt;0</formula>
    </cfRule>
    <cfRule type="expression" dxfId="1319" priority="18">
      <formula>Q8&lt;0</formula>
    </cfRule>
  </conditionalFormatting>
  <conditionalFormatting sqref="F25:F46">
    <cfRule type="expression" dxfId="1318" priority="15">
      <formula>F25&gt;0</formula>
    </cfRule>
    <cfRule type="expression" dxfId="1317" priority="16">
      <formula>F25&lt;0</formula>
    </cfRule>
  </conditionalFormatting>
  <conditionalFormatting sqref="H25:H46">
    <cfRule type="expression" dxfId="1316" priority="13">
      <formula>H25&gt;0</formula>
    </cfRule>
    <cfRule type="expression" dxfId="1315" priority="14">
      <formula>H25&lt;0</formula>
    </cfRule>
  </conditionalFormatting>
  <conditionalFormatting sqref="F89:F110">
    <cfRule type="expression" dxfId="1314" priority="11">
      <formula>F89&gt;0</formula>
    </cfRule>
    <cfRule type="expression" dxfId="1313" priority="12">
      <formula>F89&lt;0</formula>
    </cfRule>
  </conditionalFormatting>
  <conditionalFormatting sqref="H89:H110">
    <cfRule type="expression" dxfId="1312" priority="9">
      <formula>H89&gt;0</formula>
    </cfRule>
    <cfRule type="expression" dxfId="1311" priority="10">
      <formula>H89&lt;0</formula>
    </cfRule>
  </conditionalFormatting>
  <conditionalFormatting sqref="Q10">
    <cfRule type="expression" dxfId="1310" priority="7">
      <formula>Q10&gt;0</formula>
    </cfRule>
    <cfRule type="expression" dxfId="1309" priority="8">
      <formula>Q10&lt;0</formula>
    </cfRule>
  </conditionalFormatting>
  <conditionalFormatting sqref="J25:J38">
    <cfRule type="expression" dxfId="1308" priority="5">
      <formula>J25&gt;0</formula>
    </cfRule>
    <cfRule type="expression" dxfId="1307" priority="6">
      <formula>J25&lt;0</formula>
    </cfRule>
  </conditionalFormatting>
  <conditionalFormatting sqref="K25:K38">
    <cfRule type="expression" dxfId="1306" priority="3">
      <formula>K25&gt;0</formula>
    </cfRule>
    <cfRule type="expression" dxfId="1305" priority="4">
      <formula>K25&lt;0</formula>
    </cfRule>
  </conditionalFormatting>
  <conditionalFormatting sqref="L25:L38">
    <cfRule type="expression" dxfId="1304" priority="1">
      <formula>L25&gt;0</formula>
    </cfRule>
    <cfRule type="expression" dxfId="1303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776</v>
      </c>
      <c r="B2" s="444">
        <v>42996</v>
      </c>
      <c r="C2" s="4">
        <v>50</v>
      </c>
      <c r="D2" s="3">
        <v>80.67</v>
      </c>
      <c r="E2" s="3">
        <v>0</v>
      </c>
      <c r="F2" s="3">
        <f t="shared" ref="F2:F8" si="0">C2*D2+E2</f>
        <v>4033.5</v>
      </c>
      <c r="G2" s="444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200</v>
      </c>
      <c r="T2" s="1">
        <v>43097</v>
      </c>
      <c r="U2" t="s">
        <v>861</v>
      </c>
      <c r="W2" s="134"/>
    </row>
    <row r="3" spans="1:23" x14ac:dyDescent="0.25">
      <c r="A3" s="22" t="s">
        <v>71</v>
      </c>
      <c r="B3" s="444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4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71.381699999999995</v>
      </c>
      <c r="T3" s="1">
        <v>43096</v>
      </c>
      <c r="U3" t="s">
        <v>860</v>
      </c>
      <c r="W3" s="134"/>
    </row>
    <row r="4" spans="1:23" x14ac:dyDescent="0.25">
      <c r="B4" s="444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4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66.19</v>
      </c>
      <c r="R4" s="508">
        <v>-1.52E-2</v>
      </c>
      <c r="T4" s="1"/>
      <c r="U4" t="s">
        <v>864</v>
      </c>
      <c r="W4" s="134"/>
    </row>
    <row r="5" spans="1:23" x14ac:dyDescent="0.25">
      <c r="B5" s="444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4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13238</v>
      </c>
      <c r="U5" t="s">
        <v>862</v>
      </c>
      <c r="W5" s="134"/>
    </row>
    <row r="6" spans="1:23" x14ac:dyDescent="0.25">
      <c r="B6" s="72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14276.339999999998</v>
      </c>
      <c r="U6" t="s">
        <v>863</v>
      </c>
      <c r="W6" s="134"/>
    </row>
    <row r="7" spans="1:23" x14ac:dyDescent="0.25">
      <c r="B7" s="485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-1038.3400000000001</v>
      </c>
      <c r="R7">
        <v>50</v>
      </c>
      <c r="W7" s="134"/>
    </row>
    <row r="8" spans="1:23" x14ac:dyDescent="0.25">
      <c r="B8" s="485">
        <v>43151</v>
      </c>
      <c r="C8" s="4">
        <v>100</v>
      </c>
      <c r="D8" s="3">
        <v>68.38</v>
      </c>
      <c r="E8" s="3">
        <v>0</v>
      </c>
      <c r="F8" s="3">
        <f t="shared" si="0"/>
        <v>6838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-1038.3400000000001</v>
      </c>
      <c r="T8" s="1">
        <v>43114</v>
      </c>
      <c r="U8" t="s">
        <v>917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-7.2731526427641843E-2</v>
      </c>
      <c r="U9" t="s">
        <v>918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920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11" t="s">
        <v>78</v>
      </c>
      <c r="P16" s="811"/>
      <c r="W16" s="134"/>
    </row>
    <row r="17" spans="1:23" ht="15.75" thickTop="1" x14ac:dyDescent="0.25">
      <c r="O17" s="81">
        <v>1.1000000000000001</v>
      </c>
      <c r="P17" s="81">
        <f>O17*$Q$4</f>
        <v>72.808999999999997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29283.5</v>
      </c>
      <c r="G18" s="14"/>
      <c r="H18" s="71">
        <f>SUM(H2:H6)</f>
        <v>200</v>
      </c>
      <c r="I18" s="18"/>
      <c r="J18" s="18"/>
      <c r="K18" s="18">
        <f>SUM(K2:K6)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72.147100000000009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71.485200000000006</v>
      </c>
      <c r="Q19" s="2"/>
      <c r="W19" s="134"/>
    </row>
    <row r="20" spans="1:23" x14ac:dyDescent="0.25">
      <c r="O20" s="81">
        <v>1.07</v>
      </c>
      <c r="P20" s="81">
        <f t="shared" si="1"/>
        <v>70.823300000000003</v>
      </c>
      <c r="Q20" s="2"/>
      <c r="W20" s="134"/>
    </row>
    <row r="21" spans="1:23" x14ac:dyDescent="0.25">
      <c r="O21" s="81">
        <v>1.06</v>
      </c>
      <c r="P21" s="81">
        <f t="shared" si="1"/>
        <v>70.1614</v>
      </c>
      <c r="Q21" s="2"/>
      <c r="W21" s="134"/>
    </row>
    <row r="22" spans="1:23" x14ac:dyDescent="0.25">
      <c r="O22" s="81">
        <v>1.05</v>
      </c>
      <c r="P22" s="81">
        <f t="shared" si="1"/>
        <v>69.499499999999998</v>
      </c>
      <c r="Q22" s="2"/>
      <c r="W22" s="134"/>
    </row>
    <row r="23" spans="1:23" x14ac:dyDescent="0.25">
      <c r="O23" s="81">
        <v>1.04</v>
      </c>
      <c r="P23" s="81">
        <f t="shared" si="1"/>
        <v>68.837599999999995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O24" s="81">
        <v>1.03</v>
      </c>
      <c r="P24" s="81">
        <f t="shared" si="1"/>
        <v>68.175700000000006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67.513800000000003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66.851900000000001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66.19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65.528099999999995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64.866199999999992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64.204299999999989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63.542399999999994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62.880499999999998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1" si="20">C33*(E33-D33)</f>
        <v>-285.15999999999906</v>
      </c>
      <c r="G33" s="39">
        <f t="shared" ref="G33:G41" si="21">D33*C33</f>
        <v>7564.16</v>
      </c>
      <c r="H33" s="226">
        <f t="shared" ref="H33:H41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62.218599999999995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919</v>
      </c>
      <c r="L34" s="158"/>
      <c r="O34" s="81">
        <v>0.93</v>
      </c>
      <c r="P34" s="81">
        <f t="shared" si="1"/>
        <v>61.556699999999999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946</v>
      </c>
      <c r="L35" s="158"/>
      <c r="O35" s="81">
        <v>0.92</v>
      </c>
      <c r="P35" s="81">
        <f t="shared" si="1"/>
        <v>60.894800000000004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60.232900000000001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59.570999999999998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971</v>
      </c>
      <c r="J39" s="39"/>
      <c r="K39" s="39"/>
      <c r="L39" s="39"/>
      <c r="T39" s="134"/>
    </row>
    <row r="40" spans="1:23" x14ac:dyDescent="0.25">
      <c r="A40">
        <v>0</v>
      </c>
      <c r="B40" s="188">
        <v>43146</v>
      </c>
      <c r="C40" s="10">
        <v>100</v>
      </c>
      <c r="D40" s="39">
        <v>74.38</v>
      </c>
      <c r="E40" s="39">
        <v>68.38</v>
      </c>
      <c r="F40" s="39">
        <f t="shared" si="20"/>
        <v>-600</v>
      </c>
      <c r="G40" s="39">
        <f t="shared" si="21"/>
        <v>7438</v>
      </c>
      <c r="H40" s="226">
        <f t="shared" si="22"/>
        <v>-8.0666845926324282E-2</v>
      </c>
      <c r="I40" s="39"/>
      <c r="J40" s="39"/>
      <c r="K40" s="39"/>
      <c r="L40" s="39"/>
      <c r="T40" s="134"/>
    </row>
    <row r="41" spans="1:23" x14ac:dyDescent="0.25">
      <c r="A41">
        <v>50</v>
      </c>
      <c r="B41" s="188">
        <v>43151</v>
      </c>
      <c r="C41" s="10">
        <v>200</v>
      </c>
      <c r="D41" s="39">
        <v>71.381699999999995</v>
      </c>
      <c r="E41" s="39">
        <v>67.97</v>
      </c>
      <c r="F41" s="39">
        <f t="shared" si="20"/>
        <v>-682.33999999999924</v>
      </c>
      <c r="G41" s="39">
        <f t="shared" si="21"/>
        <v>14276.339999999998</v>
      </c>
      <c r="H41" s="226">
        <f t="shared" si="22"/>
        <v>-4.7795163186082658E-2</v>
      </c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776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1302" priority="21">
      <formula>F25&gt;0</formula>
    </cfRule>
    <cfRule type="expression" dxfId="1301" priority="22">
      <formula>F25&lt;0</formula>
    </cfRule>
  </conditionalFormatting>
  <conditionalFormatting sqref="Q7">
    <cfRule type="expression" dxfId="1300" priority="19">
      <formula>Q7&gt;0</formula>
    </cfRule>
    <cfRule type="expression" dxfId="1299" priority="20">
      <formula>Q7&lt;0</formula>
    </cfRule>
  </conditionalFormatting>
  <conditionalFormatting sqref="Q8">
    <cfRule type="expression" dxfId="1298" priority="17">
      <formula>Q8&gt;0</formula>
    </cfRule>
    <cfRule type="expression" dxfId="1297" priority="18">
      <formula>Q8&lt;0</formula>
    </cfRule>
  </conditionalFormatting>
  <conditionalFormatting sqref="F25:F46">
    <cfRule type="expression" dxfId="1296" priority="15">
      <formula>F25&gt;0</formula>
    </cfRule>
    <cfRule type="expression" dxfId="1295" priority="16">
      <formula>F25&lt;0</formula>
    </cfRule>
  </conditionalFormatting>
  <conditionalFormatting sqref="H25:H46">
    <cfRule type="expression" dxfId="1294" priority="13">
      <formula>H25&gt;0</formula>
    </cfRule>
    <cfRule type="expression" dxfId="1293" priority="14">
      <formula>H25&lt;0</formula>
    </cfRule>
  </conditionalFormatting>
  <conditionalFormatting sqref="F89:F110">
    <cfRule type="expression" dxfId="1292" priority="11">
      <formula>F89&gt;0</formula>
    </cfRule>
    <cfRule type="expression" dxfId="1291" priority="12">
      <formula>F89&lt;0</formula>
    </cfRule>
  </conditionalFormatting>
  <conditionalFormatting sqref="H89:H110">
    <cfRule type="expression" dxfId="1290" priority="9">
      <formula>H89&gt;0</formula>
    </cfRule>
    <cfRule type="expression" dxfId="1289" priority="10">
      <formula>H89&lt;0</formula>
    </cfRule>
  </conditionalFormatting>
  <conditionalFormatting sqref="Q10">
    <cfRule type="expression" dxfId="1288" priority="7">
      <formula>Q10&gt;0</formula>
    </cfRule>
    <cfRule type="expression" dxfId="1287" priority="8">
      <formula>Q10&lt;0</formula>
    </cfRule>
  </conditionalFormatting>
  <conditionalFormatting sqref="J36:J38">
    <cfRule type="expression" dxfId="1286" priority="5">
      <formula>J36&gt;0</formula>
    </cfRule>
    <cfRule type="expression" dxfId="1285" priority="6">
      <formula>J36&lt;0</formula>
    </cfRule>
  </conditionalFormatting>
  <conditionalFormatting sqref="K36:K38">
    <cfRule type="expression" dxfId="1284" priority="3">
      <formula>K36&gt;0</formula>
    </cfRule>
    <cfRule type="expression" dxfId="1283" priority="4">
      <formula>K36&lt;0</formula>
    </cfRule>
  </conditionalFormatting>
  <conditionalFormatting sqref="L25:L38">
    <cfRule type="expression" dxfId="1282" priority="1">
      <formula>L25&gt;0</formula>
    </cfRule>
    <cfRule type="expression" dxfId="128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872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935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5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31.58</v>
      </c>
      <c r="R4" s="508">
        <v>-8.2000000000000007E-3</v>
      </c>
      <c r="T4" s="1">
        <v>43121</v>
      </c>
      <c r="U4" t="s">
        <v>955</v>
      </c>
      <c r="W4" s="134"/>
    </row>
    <row r="5" spans="1:23" x14ac:dyDescent="0.25">
      <c r="B5" s="485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9474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-1315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-1315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-0.12188339975901381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3.2932235592146933E-2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513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1" t="s">
        <v>78</v>
      </c>
      <c r="P40" s="811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34.738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34.422200000000004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34.106400000000001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33.790599999999998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33.474800000000002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33.158999999999999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32.843199999999996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32.5274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32.211599999999997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31.895799999999998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31.58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31.264199999999999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30.948399999999999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30.632599999999996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30.316799999999997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30.000999999999998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29.685199999999998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29.369399999999999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29.053599999999999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28.7378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28.422000000000001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4" t="s">
        <v>1</v>
      </c>
      <c r="B67" s="524" t="s">
        <v>2</v>
      </c>
      <c r="C67" s="524" t="s">
        <v>4</v>
      </c>
      <c r="D67" s="525" t="s">
        <v>5</v>
      </c>
      <c r="E67" s="525" t="s">
        <v>94</v>
      </c>
      <c r="F67" s="525" t="s">
        <v>60</v>
      </c>
      <c r="G67" s="524" t="s">
        <v>3</v>
      </c>
      <c r="H67" s="524" t="s">
        <v>6</v>
      </c>
      <c r="I67" s="525" t="s">
        <v>7</v>
      </c>
      <c r="J67" s="525" t="s">
        <v>95</v>
      </c>
      <c r="K67" s="525" t="s">
        <v>61</v>
      </c>
      <c r="L67" s="524" t="s">
        <v>37</v>
      </c>
      <c r="M67" s="524" t="s">
        <v>38</v>
      </c>
      <c r="W67" s="134"/>
    </row>
    <row r="68" spans="1:23" x14ac:dyDescent="0.25">
      <c r="A68" s="526" t="s">
        <v>872</v>
      </c>
      <c r="B68" s="509"/>
      <c r="C68" s="510"/>
      <c r="D68" s="512"/>
      <c r="E68" s="512"/>
      <c r="F68" s="512"/>
      <c r="G68" s="509"/>
      <c r="H68" s="527"/>
      <c r="I68" s="512"/>
      <c r="J68" s="512"/>
      <c r="K68" s="512"/>
      <c r="L68" s="509"/>
      <c r="M68" s="512"/>
      <c r="W68" s="134"/>
    </row>
    <row r="69" spans="1:23" x14ac:dyDescent="0.25">
      <c r="A69" s="528" t="s">
        <v>71</v>
      </c>
      <c r="B69" s="509"/>
      <c r="C69" s="510"/>
      <c r="D69" s="512"/>
      <c r="E69" s="512"/>
      <c r="F69" s="512"/>
      <c r="G69" s="509"/>
      <c r="H69" s="527"/>
      <c r="I69" s="512"/>
      <c r="J69" s="512"/>
      <c r="K69" s="512"/>
      <c r="L69" s="510"/>
      <c r="M69" s="510"/>
      <c r="W69" s="134"/>
    </row>
    <row r="70" spans="1:23" x14ac:dyDescent="0.25">
      <c r="A70" s="510"/>
      <c r="B70" s="509"/>
      <c r="C70" s="510"/>
      <c r="D70" s="512"/>
      <c r="E70" s="512"/>
      <c r="F70" s="512"/>
      <c r="G70" s="509"/>
      <c r="H70" s="527"/>
      <c r="I70" s="512"/>
      <c r="J70" s="512"/>
      <c r="K70" s="512"/>
      <c r="L70" s="510"/>
      <c r="M70" s="510"/>
    </row>
    <row r="71" spans="1:23" x14ac:dyDescent="0.25">
      <c r="A71" s="510"/>
      <c r="B71" s="509"/>
      <c r="C71" s="510"/>
      <c r="D71" s="512"/>
      <c r="E71" s="512"/>
      <c r="F71" s="512"/>
      <c r="G71" s="510"/>
      <c r="H71" s="527"/>
      <c r="I71" s="512"/>
      <c r="J71" s="512"/>
      <c r="K71" s="512"/>
      <c r="L71" s="510"/>
      <c r="M71" s="510"/>
    </row>
    <row r="72" spans="1:23" x14ac:dyDescent="0.25">
      <c r="A72" s="510"/>
      <c r="B72" s="509"/>
      <c r="C72" s="510"/>
      <c r="D72" s="512"/>
      <c r="E72" s="512"/>
      <c r="F72" s="512"/>
      <c r="G72" s="510"/>
      <c r="H72" s="527"/>
      <c r="I72" s="512"/>
      <c r="J72" s="512"/>
      <c r="K72" s="512"/>
      <c r="L72" s="510"/>
      <c r="M72" s="510"/>
    </row>
    <row r="73" spans="1:23" x14ac:dyDescent="0.25">
      <c r="A73" s="510"/>
      <c r="B73" s="510"/>
      <c r="C73" s="510"/>
      <c r="D73" s="512"/>
      <c r="E73" s="512"/>
      <c r="F73" s="512"/>
      <c r="G73" s="510"/>
      <c r="H73" s="527"/>
      <c r="I73" s="512"/>
      <c r="J73" s="512"/>
      <c r="K73" s="512"/>
      <c r="L73" s="510"/>
      <c r="M73" s="510"/>
    </row>
    <row r="74" spans="1:23" x14ac:dyDescent="0.25">
      <c r="A74" s="510"/>
      <c r="B74" s="510"/>
      <c r="C74" s="510"/>
      <c r="D74" s="512"/>
      <c r="E74" s="512"/>
      <c r="F74" s="512"/>
      <c r="G74" s="510"/>
      <c r="H74" s="527"/>
      <c r="I74" s="512"/>
      <c r="J74" s="512"/>
      <c r="K74" s="512"/>
      <c r="L74" s="510"/>
      <c r="M74" s="510"/>
    </row>
    <row r="75" spans="1:23" x14ac:dyDescent="0.25">
      <c r="A75" s="510"/>
      <c r="B75" s="510"/>
      <c r="C75" s="510"/>
      <c r="D75" s="512"/>
      <c r="E75" s="512"/>
      <c r="F75" s="512"/>
      <c r="G75" s="510"/>
      <c r="H75" s="527"/>
      <c r="I75" s="512"/>
      <c r="J75" s="512"/>
      <c r="K75" s="512"/>
      <c r="L75" s="510"/>
      <c r="M75" s="510"/>
    </row>
    <row r="76" spans="1:23" x14ac:dyDescent="0.25">
      <c r="A76" s="510"/>
      <c r="B76" s="510"/>
      <c r="C76" s="510"/>
      <c r="D76" s="512"/>
      <c r="E76" s="512"/>
      <c r="F76" s="512"/>
      <c r="G76" s="510"/>
      <c r="H76" s="527"/>
      <c r="I76" s="512"/>
      <c r="J76" s="512"/>
      <c r="K76" s="512"/>
      <c r="L76" s="510"/>
      <c r="M76" s="510"/>
    </row>
    <row r="77" spans="1:23" x14ac:dyDescent="0.25">
      <c r="A77" s="510"/>
      <c r="B77" s="510"/>
      <c r="C77" s="510"/>
      <c r="D77" s="512"/>
      <c r="E77" s="512"/>
      <c r="F77" s="512"/>
      <c r="G77" s="510"/>
      <c r="H77" s="527"/>
      <c r="I77" s="512"/>
      <c r="J77" s="512"/>
      <c r="K77" s="512"/>
      <c r="L77" s="510"/>
      <c r="M77" s="510"/>
    </row>
    <row r="78" spans="1:23" x14ac:dyDescent="0.25">
      <c r="A78" s="510"/>
      <c r="B78" s="510"/>
      <c r="C78" s="510"/>
      <c r="D78" s="512"/>
      <c r="E78" s="512"/>
      <c r="F78" s="512"/>
      <c r="G78" s="510"/>
      <c r="H78" s="527"/>
      <c r="I78" s="512"/>
      <c r="J78" s="512"/>
      <c r="K78" s="512"/>
      <c r="L78" s="510"/>
      <c r="M78" s="510"/>
    </row>
    <row r="79" spans="1:23" x14ac:dyDescent="0.25">
      <c r="A79" s="510"/>
      <c r="B79" s="510"/>
      <c r="C79" s="510"/>
      <c r="D79" s="512"/>
      <c r="E79" s="512"/>
      <c r="F79" s="512"/>
      <c r="G79" s="510"/>
      <c r="H79" s="527"/>
      <c r="I79" s="512"/>
      <c r="J79" s="512"/>
      <c r="K79" s="512"/>
      <c r="L79" s="510"/>
      <c r="M79" s="510"/>
    </row>
    <row r="80" spans="1:23" x14ac:dyDescent="0.25">
      <c r="A80" s="510"/>
      <c r="B80" s="510"/>
      <c r="C80" s="510"/>
      <c r="D80" s="512"/>
      <c r="E80" s="512"/>
      <c r="F80" s="512"/>
      <c r="G80" s="510"/>
      <c r="H80" s="527"/>
      <c r="I80" s="512"/>
      <c r="J80" s="512"/>
      <c r="K80" s="512"/>
      <c r="L80" s="510"/>
      <c r="M80" s="510"/>
    </row>
    <row r="81" spans="1:13" x14ac:dyDescent="0.25">
      <c r="A81" s="510"/>
      <c r="B81" s="510"/>
      <c r="C81" s="510"/>
      <c r="D81" s="512"/>
      <c r="E81" s="512"/>
      <c r="F81" s="512"/>
      <c r="G81" s="510"/>
      <c r="H81" s="527"/>
      <c r="I81" s="512"/>
      <c r="J81" s="512"/>
      <c r="K81" s="512"/>
      <c r="L81" s="510"/>
      <c r="M81" s="510"/>
    </row>
    <row r="82" spans="1:13" x14ac:dyDescent="0.25">
      <c r="A82" s="510"/>
      <c r="B82" s="510"/>
      <c r="C82" s="510"/>
      <c r="D82" s="512"/>
      <c r="E82" s="512"/>
      <c r="F82" s="512"/>
      <c r="G82" s="510"/>
      <c r="H82" s="527"/>
      <c r="I82" s="512"/>
      <c r="J82" s="512"/>
      <c r="K82" s="512"/>
      <c r="L82" s="510"/>
      <c r="M82" s="510"/>
    </row>
    <row r="83" spans="1:13" x14ac:dyDescent="0.25">
      <c r="A83" s="510"/>
      <c r="B83" s="510"/>
      <c r="C83" s="510"/>
      <c r="D83" s="512"/>
      <c r="E83" s="512"/>
      <c r="F83" s="512"/>
      <c r="G83" s="510"/>
      <c r="H83" s="510"/>
      <c r="I83" s="512"/>
      <c r="J83" s="512"/>
      <c r="K83" s="512"/>
      <c r="L83" s="510"/>
      <c r="M83" s="510"/>
    </row>
    <row r="84" spans="1:13" x14ac:dyDescent="0.25">
      <c r="A84" s="529" t="s">
        <v>81</v>
      </c>
      <c r="B84" s="530"/>
      <c r="C84" s="530">
        <f>SUM(C68:C72)</f>
        <v>0</v>
      </c>
      <c r="D84" s="531"/>
      <c r="E84" s="531"/>
      <c r="F84" s="531">
        <f>SUM(F68:F72)</f>
        <v>0</v>
      </c>
      <c r="G84" s="530"/>
      <c r="H84" s="552">
        <f>SUM(H68:H71)</f>
        <v>0</v>
      </c>
      <c r="I84" s="531"/>
      <c r="J84" s="531"/>
      <c r="K84" s="531">
        <f>SUM(K68:K71)</f>
        <v>0</v>
      </c>
      <c r="L84" s="530"/>
      <c r="M84" s="531">
        <f>SUM(M68:M76)</f>
        <v>0</v>
      </c>
    </row>
    <row r="85" spans="1:13" ht="15.75" thickBot="1" x14ac:dyDescent="0.3">
      <c r="A85" s="532" t="s">
        <v>194</v>
      </c>
      <c r="B85" s="533"/>
      <c r="C85" s="534">
        <f>SumByColor($A$19,C68:C83)</f>
        <v>0</v>
      </c>
      <c r="D85" s="534"/>
      <c r="E85" s="534"/>
      <c r="F85" s="535">
        <f>SumByColor($A$19,F68:F83)</f>
        <v>0</v>
      </c>
      <c r="G85" s="534"/>
      <c r="H85" s="534">
        <f>SumByColor($A$19,H68:H83)</f>
        <v>0</v>
      </c>
      <c r="I85" s="534"/>
      <c r="J85" s="534"/>
      <c r="K85" s="535">
        <f>SumByColor($A$19,K69:K83)</f>
        <v>0</v>
      </c>
      <c r="L85" s="534"/>
      <c r="M85" s="535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0" priority="21">
      <formula>F47&gt;0</formula>
    </cfRule>
    <cfRule type="expression" dxfId="1279" priority="22">
      <formula>F47&lt;0</formula>
    </cfRule>
  </conditionalFormatting>
  <conditionalFormatting sqref="Q7">
    <cfRule type="expression" dxfId="1278" priority="19">
      <formula>Q7&gt;0</formula>
    </cfRule>
    <cfRule type="expression" dxfId="1277" priority="20">
      <formula>Q7&lt;0</formula>
    </cfRule>
  </conditionalFormatting>
  <conditionalFormatting sqref="Q8">
    <cfRule type="expression" dxfId="1276" priority="17">
      <formula>Q8&gt;0</formula>
    </cfRule>
    <cfRule type="expression" dxfId="1275" priority="18">
      <formula>Q8&lt;0</formula>
    </cfRule>
  </conditionalFormatting>
  <conditionalFormatting sqref="F25:F46">
    <cfRule type="expression" dxfId="1274" priority="15">
      <formula>F25&gt;0</formula>
    </cfRule>
    <cfRule type="expression" dxfId="1273" priority="16">
      <formula>F25&lt;0</formula>
    </cfRule>
  </conditionalFormatting>
  <conditionalFormatting sqref="H25:H46">
    <cfRule type="expression" dxfId="1272" priority="13">
      <formula>H25&gt;0</formula>
    </cfRule>
    <cfRule type="expression" dxfId="1271" priority="14">
      <formula>H25&lt;0</formula>
    </cfRule>
  </conditionalFormatting>
  <conditionalFormatting sqref="F89:F110">
    <cfRule type="expression" dxfId="1270" priority="11">
      <formula>F89&gt;0</formula>
    </cfRule>
    <cfRule type="expression" dxfId="1269" priority="12">
      <formula>F89&lt;0</formula>
    </cfRule>
  </conditionalFormatting>
  <conditionalFormatting sqref="H89:H110">
    <cfRule type="expression" dxfId="1268" priority="9">
      <formula>H89&gt;0</formula>
    </cfRule>
    <cfRule type="expression" dxfId="1267" priority="10">
      <formula>H89&lt;0</formula>
    </cfRule>
  </conditionalFormatting>
  <conditionalFormatting sqref="Q10">
    <cfRule type="expression" dxfId="1266" priority="7">
      <formula>Q10&gt;0</formula>
    </cfRule>
    <cfRule type="expression" dxfId="1265" priority="8">
      <formula>Q10&lt;0</formula>
    </cfRule>
  </conditionalFormatting>
  <conditionalFormatting sqref="J25:J38">
    <cfRule type="expression" dxfId="1264" priority="5">
      <formula>J25&gt;0</formula>
    </cfRule>
    <cfRule type="expression" dxfId="1263" priority="6">
      <formula>J25&lt;0</formula>
    </cfRule>
  </conditionalFormatting>
  <conditionalFormatting sqref="K25:K38">
    <cfRule type="expression" dxfId="1262" priority="3">
      <formula>K25&gt;0</formula>
    </cfRule>
    <cfRule type="expression" dxfId="1261" priority="4">
      <formula>K25&lt;0</formula>
    </cfRule>
  </conditionalFormatting>
  <conditionalFormatting sqref="L25:L38">
    <cfRule type="expression" dxfId="1260" priority="1">
      <formula>L25&gt;0</formula>
    </cfRule>
    <cfRule type="expression" dxfId="125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29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7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5">
        <v>42568</v>
      </c>
      <c r="U2" s="124" t="s">
        <v>243</v>
      </c>
      <c r="V2" s="16"/>
    </row>
    <row r="3" spans="1:3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4"/>
      <c r="M3" s="4"/>
      <c r="N3" s="4"/>
      <c r="O3" s="11" t="s">
        <v>58</v>
      </c>
      <c r="Q3" s="493">
        <f>IF(Q2=0, Q4, (F22-K22-M22)/Q2)</f>
        <v>48.81</v>
      </c>
      <c r="T3" s="1">
        <v>42621</v>
      </c>
      <c r="U3" s="33" t="s">
        <v>259</v>
      </c>
      <c r="AC3" s="229"/>
      <c r="AF3" s="229"/>
    </row>
    <row r="4" spans="1:3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N4" s="4"/>
      <c r="O4" s="11" t="s">
        <v>66</v>
      </c>
      <c r="Q4" s="196">
        <v>48.81</v>
      </c>
      <c r="R4" s="486">
        <v>4.7000000000000002E-3</v>
      </c>
      <c r="T4" s="1">
        <v>42627</v>
      </c>
      <c r="U4" s="33" t="s">
        <v>259</v>
      </c>
      <c r="AC4" s="229"/>
      <c r="AF4" s="229"/>
    </row>
    <row r="5" spans="1:33" x14ac:dyDescent="0.25">
      <c r="B5" s="488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331</v>
      </c>
      <c r="AC5" s="229"/>
      <c r="AF5" s="229"/>
    </row>
    <row r="6" spans="1:33" x14ac:dyDescent="0.25">
      <c r="B6" s="488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477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534</v>
      </c>
      <c r="AC8" s="229"/>
      <c r="AF8" s="229"/>
      <c r="AG8" s="229"/>
    </row>
    <row r="9" spans="1:33" x14ac:dyDescent="0.25">
      <c r="B9" s="488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3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8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8"/>
      <c r="C13" s="4"/>
      <c r="D13" s="3"/>
      <c r="E13" s="3"/>
      <c r="F13" s="3"/>
      <c r="G13" s="815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8"/>
      <c r="C14" s="4"/>
      <c r="D14" s="3"/>
      <c r="E14" s="3"/>
      <c r="F14" s="3"/>
      <c r="G14" s="815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8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8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8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8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8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4" t="s">
        <v>78</v>
      </c>
      <c r="P24" s="674"/>
      <c r="Q24" s="2"/>
    </row>
    <row r="25" spans="1:32" ht="15.75" thickTop="1" x14ac:dyDescent="0.25">
      <c r="B25" s="488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53.69100000000001</v>
      </c>
      <c r="Q25" s="2"/>
    </row>
    <row r="26" spans="1:32" x14ac:dyDescent="0.25">
      <c r="B26" s="488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53.202900000000007</v>
      </c>
      <c r="Q26" s="2"/>
    </row>
    <row r="27" spans="1:32" x14ac:dyDescent="0.25">
      <c r="B27" s="488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52.714800000000004</v>
      </c>
      <c r="Q27" s="2"/>
    </row>
    <row r="28" spans="1:32" x14ac:dyDescent="0.25">
      <c r="B28" s="488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52.226700000000008</v>
      </c>
      <c r="Q28" s="2"/>
    </row>
    <row r="29" spans="1:32" x14ac:dyDescent="0.25">
      <c r="A29" s="10" t="s">
        <v>750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513</v>
      </c>
      <c r="K29" s="224" t="s">
        <v>479</v>
      </c>
      <c r="L29" s="224" t="s">
        <v>708</v>
      </c>
      <c r="M29" s="4"/>
      <c r="N29" s="4"/>
      <c r="O29" s="81">
        <v>1.06</v>
      </c>
      <c r="P29" s="81">
        <f t="shared" si="0"/>
        <v>51.738600000000005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51.250500000000002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50.762400000000007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50.274300000000004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49.786200000000001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49.298100000000005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48.81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48.321899999999999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47.833800000000004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47.345700000000001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46.857599999999998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46.369500000000002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45.881399999999999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45.393300000000004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44.905200000000001</v>
      </c>
    </row>
    <row r="44" spans="1:32" x14ac:dyDescent="0.25">
      <c r="N44" s="4"/>
      <c r="O44" s="81">
        <v>0.91</v>
      </c>
      <c r="P44" s="81">
        <f t="shared" si="0"/>
        <v>44.417100000000005</v>
      </c>
    </row>
    <row r="45" spans="1:32" x14ac:dyDescent="0.25">
      <c r="B45" s="488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43.929000000000002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293</v>
      </c>
      <c r="N46" s="4"/>
      <c r="S46" s="4"/>
      <c r="T46" s="4"/>
      <c r="U46" s="107"/>
    </row>
    <row r="47" spans="1:32" x14ac:dyDescent="0.25">
      <c r="B47" s="536">
        <v>42304</v>
      </c>
      <c r="C47" s="540">
        <v>5100</v>
      </c>
      <c r="D47" s="587">
        <v>17.29</v>
      </c>
      <c r="E47" s="541">
        <v>16.68</v>
      </c>
      <c r="F47" s="541">
        <f t="shared" ref="F47:F84" si="1">-C47*(D47-E47)</f>
        <v>-3110.9999999999973</v>
      </c>
      <c r="G47" s="541">
        <f t="shared" ref="G47:G56" si="2">IF(C47=0, 0,D47*C47)</f>
        <v>88179</v>
      </c>
      <c r="H47" s="588">
        <f t="shared" ref="H47:H61" si="3">IF(C47=0, D47, (E47-D47)/D47)</f>
        <v>-3.5280508964719459E-2</v>
      </c>
      <c r="I47" s="541"/>
      <c r="J47" s="541"/>
      <c r="N47" s="4"/>
      <c r="S47" s="4"/>
      <c r="T47" s="4"/>
      <c r="U47" s="107"/>
    </row>
    <row r="48" spans="1:32" x14ac:dyDescent="0.25">
      <c r="B48" s="536">
        <v>42305</v>
      </c>
      <c r="C48" s="540">
        <v>4900</v>
      </c>
      <c r="D48" s="587">
        <v>17.29</v>
      </c>
      <c r="E48" s="541">
        <v>16.920000000000002</v>
      </c>
      <c r="F48" s="541">
        <f t="shared" si="1"/>
        <v>-1812.9999999999875</v>
      </c>
      <c r="G48" s="541">
        <f t="shared" si="2"/>
        <v>84721</v>
      </c>
      <c r="H48" s="588">
        <f t="shared" si="3"/>
        <v>-2.1399652978600199E-2</v>
      </c>
      <c r="I48" s="541"/>
      <c r="J48" s="541"/>
      <c r="N48" s="4"/>
      <c r="S48" s="420"/>
      <c r="T48" s="420"/>
      <c r="U48" s="421"/>
    </row>
    <row r="49" spans="2:32" x14ac:dyDescent="0.25">
      <c r="B49" s="536">
        <v>42306</v>
      </c>
      <c r="C49" s="540">
        <v>5100</v>
      </c>
      <c r="D49" s="587">
        <v>17.25</v>
      </c>
      <c r="E49" s="541">
        <v>16.21</v>
      </c>
      <c r="F49" s="541">
        <f t="shared" si="1"/>
        <v>-5303.9999999999955</v>
      </c>
      <c r="G49" s="541">
        <f t="shared" si="2"/>
        <v>87975</v>
      </c>
      <c r="H49" s="588">
        <f t="shared" si="3"/>
        <v>-6.0289855072463719E-2</v>
      </c>
      <c r="I49" s="541"/>
      <c r="J49" s="541"/>
      <c r="N49" s="4"/>
      <c r="S49" s="4"/>
      <c r="T49" s="4"/>
      <c r="U49" s="228"/>
    </row>
    <row r="50" spans="2:32" x14ac:dyDescent="0.25">
      <c r="B50" s="536">
        <v>42311</v>
      </c>
      <c r="C50" s="540">
        <v>2710</v>
      </c>
      <c r="D50" s="587">
        <v>16.989999999999998</v>
      </c>
      <c r="E50" s="541">
        <v>17.84</v>
      </c>
      <c r="F50" s="541">
        <f t="shared" si="1"/>
        <v>2303.5000000000036</v>
      </c>
      <c r="G50" s="541">
        <f t="shared" si="2"/>
        <v>46042.899999999994</v>
      </c>
      <c r="H50" s="588">
        <f t="shared" si="3"/>
        <v>5.0029429075927105E-2</v>
      </c>
      <c r="I50" s="541"/>
      <c r="J50" s="541"/>
      <c r="N50" s="4"/>
      <c r="S50" s="4"/>
      <c r="T50" s="4"/>
      <c r="U50" s="228"/>
      <c r="AC50" s="229"/>
      <c r="AF50" s="229"/>
    </row>
    <row r="51" spans="2:32" x14ac:dyDescent="0.25">
      <c r="B51" s="536">
        <v>42312</v>
      </c>
      <c r="C51" s="540">
        <v>2902</v>
      </c>
      <c r="D51" s="587">
        <v>16.989999999999998</v>
      </c>
      <c r="E51" s="541">
        <v>17.440000000000001</v>
      </c>
      <c r="F51" s="541">
        <f t="shared" si="1"/>
        <v>1305.9000000000083</v>
      </c>
      <c r="G51" s="541">
        <f t="shared" si="2"/>
        <v>49304.979999999996</v>
      </c>
      <c r="H51" s="588">
        <f t="shared" si="3"/>
        <v>2.6486168334314473E-2</v>
      </c>
      <c r="I51" s="541"/>
      <c r="J51" s="541"/>
      <c r="N51" s="4"/>
      <c r="S51" s="4"/>
      <c r="T51" s="4"/>
      <c r="U51" s="228"/>
    </row>
    <row r="52" spans="2:32" x14ac:dyDescent="0.25">
      <c r="B52" s="536">
        <v>42313</v>
      </c>
      <c r="C52" s="540">
        <v>5710</v>
      </c>
      <c r="D52" s="587">
        <v>16.91</v>
      </c>
      <c r="E52" s="541">
        <v>16.510000000000002</v>
      </c>
      <c r="F52" s="541">
        <f t="shared" si="1"/>
        <v>-2283.9999999999918</v>
      </c>
      <c r="G52" s="541">
        <f t="shared" si="2"/>
        <v>96556.1</v>
      </c>
      <c r="H52" s="588">
        <f t="shared" si="3"/>
        <v>-2.3654642223536283E-2</v>
      </c>
      <c r="I52" s="541"/>
      <c r="J52" s="541"/>
      <c r="N52" s="4"/>
      <c r="S52" s="4"/>
      <c r="T52" s="4"/>
      <c r="U52" s="228"/>
    </row>
    <row r="53" spans="2:32" x14ac:dyDescent="0.25">
      <c r="B53" s="536">
        <v>42314</v>
      </c>
      <c r="C53" s="540">
        <v>4710</v>
      </c>
      <c r="D53" s="587">
        <v>16.95</v>
      </c>
      <c r="E53" s="541">
        <v>16.45</v>
      </c>
      <c r="F53" s="541">
        <f t="shared" si="1"/>
        <v>-2355</v>
      </c>
      <c r="G53" s="541">
        <f t="shared" si="2"/>
        <v>79834.5</v>
      </c>
      <c r="H53" s="588">
        <f t="shared" si="3"/>
        <v>-2.9498525073746312E-2</v>
      </c>
      <c r="I53" s="541"/>
      <c r="J53" s="541"/>
      <c r="N53" s="4"/>
      <c r="S53" s="4"/>
      <c r="T53" s="4"/>
      <c r="U53" s="228"/>
    </row>
    <row r="54" spans="2:32" x14ac:dyDescent="0.25">
      <c r="B54" s="536">
        <v>42317</v>
      </c>
      <c r="C54" s="540">
        <v>5060</v>
      </c>
      <c r="D54" s="587">
        <v>16.87</v>
      </c>
      <c r="E54" s="541">
        <v>15.84</v>
      </c>
      <c r="F54" s="541">
        <f t="shared" si="1"/>
        <v>-5211.8000000000056</v>
      </c>
      <c r="G54" s="541">
        <f t="shared" si="2"/>
        <v>85362.200000000012</v>
      </c>
      <c r="H54" s="588">
        <f t="shared" si="3"/>
        <v>-6.1055127445169E-2</v>
      </c>
      <c r="I54" s="541"/>
      <c r="J54" s="541"/>
      <c r="N54" s="4"/>
      <c r="S54" s="4"/>
      <c r="T54" s="4"/>
      <c r="U54" s="422"/>
      <c r="AC54" s="229"/>
      <c r="AF54" s="229"/>
    </row>
    <row r="55" spans="2:32" x14ac:dyDescent="0.25">
      <c r="B55" s="536">
        <v>42324</v>
      </c>
      <c r="C55" s="540">
        <v>6000</v>
      </c>
      <c r="D55" s="587">
        <v>16.54</v>
      </c>
      <c r="E55" s="541">
        <v>14.89</v>
      </c>
      <c r="F55" s="541">
        <f t="shared" si="1"/>
        <v>-9899.9999999999909</v>
      </c>
      <c r="G55" s="541">
        <f t="shared" si="2"/>
        <v>99240</v>
      </c>
      <c r="H55" s="588">
        <f t="shared" si="3"/>
        <v>-9.9758162031438849E-2</v>
      </c>
      <c r="I55" s="541"/>
      <c r="J55" s="541"/>
      <c r="N55" s="4"/>
      <c r="S55" s="4"/>
      <c r="T55" s="4"/>
      <c r="U55" s="107"/>
    </row>
    <row r="56" spans="2:32" x14ac:dyDescent="0.25">
      <c r="B56" s="536">
        <v>42325</v>
      </c>
      <c r="C56" s="540">
        <v>5060</v>
      </c>
      <c r="D56" s="587">
        <v>16.73</v>
      </c>
      <c r="E56" s="541">
        <v>15.28</v>
      </c>
      <c r="F56" s="541">
        <f t="shared" si="1"/>
        <v>-7337.0000000000055</v>
      </c>
      <c r="G56" s="541">
        <f t="shared" si="2"/>
        <v>84653.8</v>
      </c>
      <c r="H56" s="588">
        <f t="shared" si="3"/>
        <v>-8.6670651524208067E-2</v>
      </c>
      <c r="I56" s="541"/>
      <c r="J56" s="541"/>
      <c r="N56" s="4"/>
      <c r="S56" s="4"/>
      <c r="T56" s="4"/>
      <c r="U56" s="107"/>
    </row>
    <row r="57" spans="2:32" x14ac:dyDescent="0.25">
      <c r="B57" s="536">
        <v>42328</v>
      </c>
      <c r="C57" s="540">
        <v>6000</v>
      </c>
      <c r="D57" s="587">
        <v>16.52</v>
      </c>
      <c r="E57" s="541">
        <v>15.39</v>
      </c>
      <c r="F57" s="541">
        <f t="shared" si="1"/>
        <v>-6779.9999999999936</v>
      </c>
      <c r="G57" s="541">
        <f t="shared" ref="G57:G84" si="4">IF(C57=0, 0,D57*C57)</f>
        <v>99120</v>
      </c>
      <c r="H57" s="588">
        <f t="shared" si="3"/>
        <v>-6.8401937046004779E-2</v>
      </c>
      <c r="I57" s="541"/>
      <c r="J57" s="541"/>
      <c r="N57" s="4"/>
      <c r="S57" s="420"/>
      <c r="T57" s="420"/>
      <c r="U57" s="421"/>
    </row>
    <row r="58" spans="2:32" x14ac:dyDescent="0.25">
      <c r="B58" s="536">
        <v>42331</v>
      </c>
      <c r="C58" s="540">
        <v>5060</v>
      </c>
      <c r="D58" s="587">
        <v>16.68</v>
      </c>
      <c r="E58" s="541">
        <v>15.32</v>
      </c>
      <c r="F58" s="541">
        <f t="shared" si="1"/>
        <v>-6881.5999999999967</v>
      </c>
      <c r="G58" s="541">
        <f t="shared" si="4"/>
        <v>84400.8</v>
      </c>
      <c r="H58" s="588">
        <f t="shared" si="3"/>
        <v>-8.1534772182254162E-2</v>
      </c>
      <c r="I58" s="541"/>
      <c r="J58" s="541"/>
      <c r="N58" s="4"/>
      <c r="S58" s="4"/>
      <c r="T58" s="4"/>
      <c r="U58" s="228"/>
      <c r="AC58" s="229"/>
      <c r="AF58" s="229"/>
    </row>
    <row r="59" spans="2:32" x14ac:dyDescent="0.25">
      <c r="B59" s="536">
        <v>42338</v>
      </c>
      <c r="C59" s="540">
        <v>4710</v>
      </c>
      <c r="D59" s="587">
        <v>16.73</v>
      </c>
      <c r="E59" s="541">
        <v>15.93</v>
      </c>
      <c r="F59" s="541">
        <f t="shared" si="1"/>
        <v>-3768.0000000000032</v>
      </c>
      <c r="G59" s="541">
        <f t="shared" si="4"/>
        <v>78798.3</v>
      </c>
      <c r="H59" s="588">
        <f t="shared" si="3"/>
        <v>-4.7818290496114808E-2</v>
      </c>
      <c r="I59" s="541"/>
      <c r="J59" s="541"/>
      <c r="N59" s="4"/>
      <c r="S59" s="4"/>
      <c r="T59" s="4"/>
      <c r="U59" s="228"/>
    </row>
    <row r="60" spans="2:32" x14ac:dyDescent="0.25">
      <c r="B60" s="536">
        <v>42340</v>
      </c>
      <c r="C60" s="540">
        <v>5060</v>
      </c>
      <c r="D60" s="587">
        <v>16.670000000000002</v>
      </c>
      <c r="E60" s="541">
        <v>15.82</v>
      </c>
      <c r="F60" s="541">
        <f t="shared" si="1"/>
        <v>-4301.0000000000073</v>
      </c>
      <c r="G60" s="541">
        <f t="shared" si="4"/>
        <v>84350.200000000012</v>
      </c>
      <c r="H60" s="588">
        <f t="shared" si="3"/>
        <v>-5.0989802039592164E-2</v>
      </c>
      <c r="I60" s="541"/>
      <c r="J60" s="541"/>
      <c r="N60" s="4"/>
      <c r="S60" s="4"/>
      <c r="T60" s="4"/>
      <c r="U60" s="422"/>
    </row>
    <row r="61" spans="2:32" x14ac:dyDescent="0.25">
      <c r="B61" s="536">
        <v>42341</v>
      </c>
      <c r="C61" s="540">
        <v>5060</v>
      </c>
      <c r="D61" s="587">
        <v>16.64</v>
      </c>
      <c r="E61" s="541">
        <v>15.61</v>
      </c>
      <c r="F61" s="541">
        <f t="shared" si="1"/>
        <v>-5211.8000000000056</v>
      </c>
      <c r="G61" s="541">
        <f t="shared" si="4"/>
        <v>84198.400000000009</v>
      </c>
      <c r="H61" s="588">
        <f t="shared" si="3"/>
        <v>-6.1899038461538526E-2</v>
      </c>
      <c r="I61" s="541"/>
      <c r="J61" s="541"/>
      <c r="N61" s="4"/>
      <c r="S61" s="4"/>
      <c r="T61" s="4"/>
      <c r="U61" s="107"/>
    </row>
    <row r="62" spans="2:32" x14ac:dyDescent="0.25">
      <c r="B62" s="536">
        <v>42347</v>
      </c>
      <c r="C62" s="540">
        <v>5260</v>
      </c>
      <c r="D62" s="587">
        <v>16.559999999999999</v>
      </c>
      <c r="E62" s="541">
        <v>14.32</v>
      </c>
      <c r="F62" s="541">
        <f t="shared" si="1"/>
        <v>-11782.399999999992</v>
      </c>
      <c r="G62" s="541">
        <f t="shared" si="4"/>
        <v>87105.599999999991</v>
      </c>
      <c r="H62" s="588">
        <f t="shared" ref="H62:H84" si="5">IF(C62=0, D62, (E62-D62)/D62)</f>
        <v>-0.13526570048309169</v>
      </c>
      <c r="I62" s="541"/>
      <c r="J62" s="541"/>
      <c r="N62" s="4"/>
      <c r="S62" s="4"/>
      <c r="T62" s="4"/>
      <c r="U62" s="107"/>
    </row>
    <row r="63" spans="2:32" x14ac:dyDescent="0.25">
      <c r="B63" s="536">
        <v>42348</v>
      </c>
      <c r="C63" s="540">
        <v>5060</v>
      </c>
      <c r="D63" s="587">
        <v>16.63</v>
      </c>
      <c r="E63" s="541">
        <v>14.66</v>
      </c>
      <c r="F63" s="541">
        <f t="shared" si="1"/>
        <v>-9968.1999999999935</v>
      </c>
      <c r="G63" s="541">
        <f t="shared" si="4"/>
        <v>84147.799999999988</v>
      </c>
      <c r="H63" s="588">
        <f t="shared" si="5"/>
        <v>-0.11846061334936855</v>
      </c>
      <c r="I63" s="541"/>
      <c r="J63" s="541"/>
      <c r="N63" s="4"/>
      <c r="S63" s="4"/>
      <c r="T63" s="4"/>
      <c r="U63" s="107"/>
    </row>
    <row r="64" spans="2:32" x14ac:dyDescent="0.25">
      <c r="B64" s="536">
        <v>42349</v>
      </c>
      <c r="C64" s="540">
        <v>5060</v>
      </c>
      <c r="D64" s="587">
        <v>16.62</v>
      </c>
      <c r="E64" s="541">
        <v>14.04</v>
      </c>
      <c r="F64" s="541">
        <f t="shared" si="1"/>
        <v>-13054.80000000001</v>
      </c>
      <c r="G64" s="541">
        <f t="shared" si="4"/>
        <v>84097.200000000012</v>
      </c>
      <c r="H64" s="588">
        <f t="shared" si="5"/>
        <v>-0.15523465703971129</v>
      </c>
      <c r="I64" s="541"/>
      <c r="J64" s="541"/>
      <c r="N64" s="4"/>
    </row>
    <row r="65" spans="2:18" x14ac:dyDescent="0.25">
      <c r="B65" s="536">
        <v>42349</v>
      </c>
      <c r="C65" s="540">
        <v>6000</v>
      </c>
      <c r="D65" s="587">
        <v>16.22</v>
      </c>
      <c r="E65" s="541">
        <v>14.04</v>
      </c>
      <c r="F65" s="541">
        <f t="shared" si="1"/>
        <v>-13079.999999999998</v>
      </c>
      <c r="G65" s="541">
        <f t="shared" si="4"/>
        <v>97320</v>
      </c>
      <c r="H65" s="588">
        <f t="shared" si="5"/>
        <v>-0.13440197287299629</v>
      </c>
      <c r="I65" s="541"/>
      <c r="J65" s="541"/>
      <c r="N65" s="4"/>
    </row>
    <row r="66" spans="2:18" x14ac:dyDescent="0.25">
      <c r="B66" s="536">
        <v>42349</v>
      </c>
      <c r="C66" s="540">
        <v>6200</v>
      </c>
      <c r="D66" s="587">
        <v>16.14</v>
      </c>
      <c r="E66" s="541">
        <v>14.04</v>
      </c>
      <c r="F66" s="541">
        <f t="shared" si="1"/>
        <v>-13020.000000000009</v>
      </c>
      <c r="G66" s="541">
        <f t="shared" si="4"/>
        <v>100068</v>
      </c>
      <c r="H66" s="588">
        <f t="shared" si="5"/>
        <v>-0.13011152416356886</v>
      </c>
      <c r="I66" s="541"/>
      <c r="J66" s="541"/>
      <c r="N66" s="4"/>
    </row>
    <row r="67" spans="2:18" x14ac:dyDescent="0.25">
      <c r="B67" s="536">
        <v>42349</v>
      </c>
      <c r="C67" s="540">
        <v>5721</v>
      </c>
      <c r="D67" s="587">
        <v>16.32</v>
      </c>
      <c r="E67" s="541">
        <v>14.04</v>
      </c>
      <c r="F67" s="541">
        <f t="shared" si="1"/>
        <v>-13043.880000000006</v>
      </c>
      <c r="G67" s="541">
        <f t="shared" si="4"/>
        <v>93366.720000000001</v>
      </c>
      <c r="H67" s="588">
        <f t="shared" si="5"/>
        <v>-0.13970588235294124</v>
      </c>
      <c r="I67" s="541"/>
      <c r="J67" s="541"/>
      <c r="N67" s="4"/>
      <c r="O67" s="4"/>
      <c r="P67" s="4"/>
      <c r="Q67" s="4"/>
      <c r="R67" s="4"/>
    </row>
    <row r="68" spans="2:18" x14ac:dyDescent="0.25">
      <c r="B68" s="536">
        <v>42349</v>
      </c>
      <c r="C68" s="540">
        <v>5060</v>
      </c>
      <c r="D68" s="587">
        <v>16.6143</v>
      </c>
      <c r="E68" s="541">
        <v>14.04</v>
      </c>
      <c r="F68" s="541">
        <f t="shared" si="1"/>
        <v>-13025.958000000004</v>
      </c>
      <c r="G68" s="541">
        <f t="shared" si="4"/>
        <v>84068.358000000007</v>
      </c>
      <c r="H68" s="588">
        <f t="shared" si="5"/>
        <v>-0.15494483667683867</v>
      </c>
      <c r="I68" s="541"/>
      <c r="J68" s="541"/>
      <c r="O68" s="420"/>
      <c r="P68" s="4"/>
      <c r="Q68" s="4"/>
      <c r="R68" s="4"/>
    </row>
    <row r="69" spans="2:18" x14ac:dyDescent="0.25">
      <c r="B69" s="536">
        <v>42356</v>
      </c>
      <c r="C69" s="540">
        <v>5060</v>
      </c>
      <c r="D69" s="587">
        <v>16.596900000000002</v>
      </c>
      <c r="E69" s="541">
        <v>14.32</v>
      </c>
      <c r="F69" s="541">
        <f t="shared" si="1"/>
        <v>-11521.114000000007</v>
      </c>
      <c r="G69" s="541">
        <f t="shared" si="4"/>
        <v>83980.314000000013</v>
      </c>
      <c r="H69" s="588">
        <f t="shared" si="5"/>
        <v>-0.13718827009863294</v>
      </c>
      <c r="I69" s="541"/>
      <c r="J69" s="541"/>
      <c r="Q69" s="420"/>
      <c r="R69" s="420"/>
    </row>
    <row r="70" spans="2:18" x14ac:dyDescent="0.25">
      <c r="B70" s="536">
        <v>42356</v>
      </c>
      <c r="C70" s="540">
        <v>7000</v>
      </c>
      <c r="D70" s="587">
        <v>15.97</v>
      </c>
      <c r="E70" s="541">
        <v>14.34</v>
      </c>
      <c r="F70" s="541">
        <f t="shared" si="1"/>
        <v>-11410.000000000005</v>
      </c>
      <c r="G70" s="541">
        <f t="shared" si="4"/>
        <v>111790</v>
      </c>
      <c r="H70" s="588">
        <f t="shared" si="5"/>
        <v>-0.10206637445209772</v>
      </c>
      <c r="I70" s="541"/>
      <c r="J70" s="541"/>
      <c r="Q70" s="4"/>
      <c r="R70" s="4"/>
    </row>
    <row r="71" spans="2:18" x14ac:dyDescent="0.25">
      <c r="B71" s="536">
        <v>42356</v>
      </c>
      <c r="C71" s="540">
        <v>6000</v>
      </c>
      <c r="D71" s="587">
        <v>16.23</v>
      </c>
      <c r="E71" s="541">
        <v>14.36</v>
      </c>
      <c r="F71" s="541">
        <f t="shared" si="1"/>
        <v>-11220.000000000005</v>
      </c>
      <c r="G71" s="541">
        <f t="shared" si="4"/>
        <v>97380</v>
      </c>
      <c r="H71" s="588">
        <f t="shared" si="5"/>
        <v>-0.11521873074553302</v>
      </c>
      <c r="I71" s="541"/>
      <c r="J71" s="541"/>
      <c r="Q71" s="4"/>
      <c r="R71" s="4"/>
    </row>
    <row r="72" spans="2:18" x14ac:dyDescent="0.25">
      <c r="B72" s="536">
        <v>42357</v>
      </c>
      <c r="C72" s="540">
        <v>5500</v>
      </c>
      <c r="D72" s="587">
        <v>16.398399999999999</v>
      </c>
      <c r="E72" s="541">
        <v>14.36</v>
      </c>
      <c r="F72" s="541">
        <f t="shared" si="1"/>
        <v>-11211.199999999997</v>
      </c>
      <c r="G72" s="541">
        <f t="shared" si="4"/>
        <v>90191.2</v>
      </c>
      <c r="H72" s="588">
        <f t="shared" si="5"/>
        <v>-0.12430481022538781</v>
      </c>
      <c r="I72" s="541"/>
      <c r="J72" s="541"/>
      <c r="Q72" s="4"/>
      <c r="R72" s="4"/>
    </row>
    <row r="73" spans="2:18" x14ac:dyDescent="0.25">
      <c r="B73" s="536">
        <v>42359</v>
      </c>
      <c r="C73" s="540">
        <v>5060</v>
      </c>
      <c r="D73" s="587">
        <v>16.55</v>
      </c>
      <c r="E73" s="541">
        <v>14.64</v>
      </c>
      <c r="F73" s="541">
        <f t="shared" si="1"/>
        <v>-9664.6</v>
      </c>
      <c r="G73" s="541">
        <f t="shared" si="4"/>
        <v>83743</v>
      </c>
      <c r="H73" s="588">
        <f t="shared" si="5"/>
        <v>-0.11540785498489427</v>
      </c>
      <c r="I73" s="541"/>
      <c r="J73" s="541"/>
      <c r="Q73" s="4"/>
      <c r="R73" s="4"/>
    </row>
    <row r="74" spans="2:18" x14ac:dyDescent="0.25">
      <c r="B74" s="536">
        <v>42361</v>
      </c>
      <c r="C74" s="540">
        <v>5060</v>
      </c>
      <c r="D74" s="587">
        <v>16.5456</v>
      </c>
      <c r="E74" s="541">
        <v>14.61</v>
      </c>
      <c r="F74" s="541">
        <f t="shared" si="1"/>
        <v>-9794.1360000000041</v>
      </c>
      <c r="G74" s="541">
        <f t="shared" si="4"/>
        <v>83720.736000000004</v>
      </c>
      <c r="H74" s="588">
        <f t="shared" si="5"/>
        <v>-0.11698578474035398</v>
      </c>
      <c r="I74" s="541"/>
      <c r="J74" s="541"/>
      <c r="Q74" s="4"/>
      <c r="R74" s="4"/>
    </row>
    <row r="75" spans="2:18" x14ac:dyDescent="0.25">
      <c r="B75" s="536">
        <v>42377</v>
      </c>
      <c r="C75" s="540">
        <v>5260</v>
      </c>
      <c r="D75" s="587">
        <v>16.424099999999999</v>
      </c>
      <c r="E75" s="541">
        <v>13.33</v>
      </c>
      <c r="F75" s="541">
        <f t="shared" si="1"/>
        <v>-16274.965999999995</v>
      </c>
      <c r="G75" s="541">
        <f t="shared" si="4"/>
        <v>86390.766000000003</v>
      </c>
      <c r="H75" s="588">
        <f t="shared" si="5"/>
        <v>-0.18838779598273264</v>
      </c>
      <c r="I75" s="541"/>
      <c r="J75" s="541"/>
      <c r="Q75" s="4"/>
      <c r="R75" s="4"/>
    </row>
    <row r="76" spans="2:18" x14ac:dyDescent="0.25">
      <c r="B76" s="536">
        <v>42398</v>
      </c>
      <c r="C76" s="540">
        <v>5000</v>
      </c>
      <c r="D76" s="587">
        <v>16.72</v>
      </c>
      <c r="E76" s="541">
        <v>10.74</v>
      </c>
      <c r="F76" s="541">
        <f t="shared" si="1"/>
        <v>-29899.999999999993</v>
      </c>
      <c r="G76" s="541">
        <f t="shared" si="4"/>
        <v>83600</v>
      </c>
      <c r="H76" s="588">
        <f t="shared" si="5"/>
        <v>-0.35765550239234445</v>
      </c>
      <c r="I76" s="541"/>
      <c r="J76" s="541"/>
      <c r="Q76" s="4"/>
      <c r="R76" s="4"/>
    </row>
    <row r="77" spans="2:18" x14ac:dyDescent="0.25">
      <c r="B77" s="536">
        <v>42401</v>
      </c>
      <c r="C77" s="540">
        <v>5260</v>
      </c>
      <c r="D77" s="587">
        <v>16.419699999999999</v>
      </c>
      <c r="E77" s="541">
        <v>10.96</v>
      </c>
      <c r="F77" s="541">
        <f t="shared" si="1"/>
        <v>-28718.02199999999</v>
      </c>
      <c r="G77" s="541">
        <f t="shared" si="4"/>
        <v>86367.621999999988</v>
      </c>
      <c r="H77" s="588">
        <f t="shared" si="5"/>
        <v>-0.33250912014226802</v>
      </c>
      <c r="I77" s="541"/>
      <c r="J77" s="541"/>
      <c r="Q77" s="4"/>
      <c r="R77" s="4"/>
    </row>
    <row r="78" spans="2:18" x14ac:dyDescent="0.25">
      <c r="B78" s="536">
        <v>42416</v>
      </c>
      <c r="C78" s="540">
        <v>4760</v>
      </c>
      <c r="D78" s="587">
        <v>17.02</v>
      </c>
      <c r="E78" s="541">
        <v>10.65</v>
      </c>
      <c r="F78" s="541">
        <f t="shared" si="1"/>
        <v>-30321.199999999997</v>
      </c>
      <c r="G78" s="541">
        <f t="shared" si="4"/>
        <v>81015.199999999997</v>
      </c>
      <c r="H78" s="588">
        <f t="shared" si="5"/>
        <v>-0.37426556991774379</v>
      </c>
      <c r="I78" s="541"/>
      <c r="J78" s="541"/>
      <c r="Q78" s="420"/>
      <c r="R78" s="420"/>
    </row>
    <row r="79" spans="2:18" x14ac:dyDescent="0.25">
      <c r="B79" s="536">
        <v>42416</v>
      </c>
      <c r="C79" s="540">
        <v>4000</v>
      </c>
      <c r="D79" s="587">
        <v>18.1967</v>
      </c>
      <c r="E79" s="541">
        <v>10.744999999999999</v>
      </c>
      <c r="F79" s="541">
        <f t="shared" si="1"/>
        <v>-29806.800000000003</v>
      </c>
      <c r="G79" s="541">
        <f t="shared" si="4"/>
        <v>72786.8</v>
      </c>
      <c r="H79" s="588">
        <f t="shared" si="5"/>
        <v>-0.40950831744217364</v>
      </c>
      <c r="I79" s="541"/>
      <c r="J79" s="541"/>
      <c r="Q79" s="4"/>
      <c r="R79" s="4"/>
    </row>
    <row r="80" spans="2:18" x14ac:dyDescent="0.25">
      <c r="B80" s="536">
        <v>42418</v>
      </c>
      <c r="C80" s="540">
        <v>3600</v>
      </c>
      <c r="D80" s="587">
        <v>18.931999999999999</v>
      </c>
      <c r="E80" s="541">
        <v>10.81</v>
      </c>
      <c r="F80" s="541">
        <f t="shared" si="1"/>
        <v>-29239.199999999993</v>
      </c>
      <c r="G80" s="541">
        <f t="shared" si="4"/>
        <v>68155.199999999997</v>
      </c>
      <c r="H80" s="588">
        <f t="shared" si="5"/>
        <v>-0.42900908514684127</v>
      </c>
      <c r="I80" s="541"/>
      <c r="J80" s="541"/>
      <c r="Q80" s="4"/>
      <c r="R80" s="4"/>
    </row>
    <row r="81" spans="2:18" x14ac:dyDescent="0.25">
      <c r="B81" s="536">
        <v>42423</v>
      </c>
      <c r="C81" s="540">
        <v>5260</v>
      </c>
      <c r="D81" s="587">
        <v>16.356200000000001</v>
      </c>
      <c r="E81" s="541">
        <v>10.49</v>
      </c>
      <c r="F81" s="541">
        <f t="shared" si="1"/>
        <v>-30856.212000000007</v>
      </c>
      <c r="G81" s="541">
        <f t="shared" si="4"/>
        <v>86033.612000000008</v>
      </c>
      <c r="H81" s="588">
        <f t="shared" si="5"/>
        <v>-0.35865298785781541</v>
      </c>
      <c r="I81" s="541"/>
      <c r="J81" s="541"/>
      <c r="Q81" s="4"/>
      <c r="R81" s="4"/>
    </row>
    <row r="82" spans="2:18" x14ac:dyDescent="0.25">
      <c r="B82" s="536">
        <v>42431</v>
      </c>
      <c r="C82" s="540">
        <v>4760</v>
      </c>
      <c r="D82" s="587">
        <v>16.858899999999998</v>
      </c>
      <c r="E82" s="541">
        <v>11.68</v>
      </c>
      <c r="F82" s="541">
        <f t="shared" si="1"/>
        <v>-24651.563999999995</v>
      </c>
      <c r="G82" s="541">
        <f t="shared" si="4"/>
        <v>80248.363999999987</v>
      </c>
      <c r="H82" s="588">
        <f t="shared" si="5"/>
        <v>-0.30719086061368173</v>
      </c>
      <c r="I82" s="541"/>
      <c r="J82" s="541"/>
      <c r="Q82" s="4"/>
      <c r="R82" s="4"/>
    </row>
    <row r="83" spans="2:18" x14ac:dyDescent="0.25">
      <c r="B83" s="536">
        <v>42436</v>
      </c>
      <c r="C83" s="540">
        <v>5290</v>
      </c>
      <c r="D83" s="587">
        <v>16.258900000000001</v>
      </c>
      <c r="E83" s="541">
        <v>11.58</v>
      </c>
      <c r="F83" s="541">
        <f t="shared" si="1"/>
        <v>-24751.381000000001</v>
      </c>
      <c r="G83" s="541">
        <f t="shared" si="4"/>
        <v>86009.581000000006</v>
      </c>
      <c r="H83" s="588">
        <f t="shared" si="5"/>
        <v>-0.28777469570512154</v>
      </c>
      <c r="I83" s="541"/>
      <c r="J83" s="541"/>
      <c r="Q83" s="4"/>
      <c r="R83" s="4"/>
    </row>
    <row r="84" spans="2:18" x14ac:dyDescent="0.25">
      <c r="B84" s="536">
        <v>42444</v>
      </c>
      <c r="C84" s="540">
        <v>5290</v>
      </c>
      <c r="D84" s="587">
        <v>16.259</v>
      </c>
      <c r="E84" s="541">
        <v>10.85</v>
      </c>
      <c r="F84" s="541">
        <f t="shared" si="1"/>
        <v>-28613.610000000004</v>
      </c>
      <c r="G84" s="541">
        <f t="shared" si="4"/>
        <v>86010.11</v>
      </c>
      <c r="H84" s="588">
        <f t="shared" si="5"/>
        <v>-0.33267728642597949</v>
      </c>
      <c r="I84" s="541"/>
      <c r="J84" s="541"/>
      <c r="Q84" s="4"/>
      <c r="R84" s="4"/>
    </row>
    <row r="85" spans="2:18" x14ac:dyDescent="0.25">
      <c r="B85" s="536">
        <v>42446</v>
      </c>
      <c r="C85" s="540">
        <v>5295</v>
      </c>
      <c r="D85" s="587">
        <v>16.2348</v>
      </c>
      <c r="E85" s="541">
        <v>10.87</v>
      </c>
      <c r="F85" s="541">
        <f t="shared" ref="F85:F123" si="6">-C85*(D85-E85)</f>
        <v>-28406.616000000002</v>
      </c>
      <c r="G85" s="541">
        <f t="shared" ref="G85:G123" si="7">IF(C85=0, 0,D85*C85)</f>
        <v>85963.266000000003</v>
      </c>
      <c r="H85" s="588">
        <f t="shared" ref="H85:H123" si="8">IF(C85=0, D85, (E85-D85)/D85)</f>
        <v>-0.33045063690344201</v>
      </c>
      <c r="I85" s="541"/>
      <c r="J85" s="541"/>
    </row>
    <row r="86" spans="2:18" x14ac:dyDescent="0.25">
      <c r="B86" s="536">
        <v>42447</v>
      </c>
      <c r="C86" s="540">
        <v>5300</v>
      </c>
      <c r="D86" s="587">
        <v>16.211200000000002</v>
      </c>
      <c r="E86" s="541">
        <v>11.07</v>
      </c>
      <c r="F86" s="541">
        <f t="shared" si="6"/>
        <v>-27248.360000000008</v>
      </c>
      <c r="G86" s="541">
        <f t="shared" si="7"/>
        <v>85919.360000000015</v>
      </c>
      <c r="H86" s="588">
        <f t="shared" si="8"/>
        <v>-0.31713876825898152</v>
      </c>
      <c r="I86" s="541"/>
      <c r="J86" s="541"/>
    </row>
    <row r="87" spans="2:18" x14ac:dyDescent="0.25">
      <c r="B87" s="536">
        <v>42447</v>
      </c>
      <c r="C87" s="540">
        <v>5155</v>
      </c>
      <c r="D87" s="587">
        <v>16.352699999999999</v>
      </c>
      <c r="E87" s="541">
        <v>11.14</v>
      </c>
      <c r="F87" s="541">
        <f t="shared" si="6"/>
        <v>-26871.468499999992</v>
      </c>
      <c r="G87" s="541">
        <f t="shared" si="7"/>
        <v>84298.1685</v>
      </c>
      <c r="H87" s="588">
        <f t="shared" si="8"/>
        <v>-0.31876693145474438</v>
      </c>
      <c r="I87" s="541"/>
      <c r="J87" s="541"/>
    </row>
    <row r="88" spans="2:18" x14ac:dyDescent="0.25">
      <c r="B88" s="536">
        <v>42450</v>
      </c>
      <c r="C88" s="540">
        <v>3955</v>
      </c>
      <c r="D88" s="587">
        <v>17.7959</v>
      </c>
      <c r="E88" s="541">
        <v>11.54</v>
      </c>
      <c r="F88" s="541">
        <f t="shared" si="6"/>
        <v>-24742.084500000001</v>
      </c>
      <c r="G88" s="541">
        <f t="shared" si="7"/>
        <v>70382.784499999994</v>
      </c>
      <c r="H88" s="588">
        <f t="shared" si="8"/>
        <v>-0.3515360279614968</v>
      </c>
      <c r="I88" s="541"/>
      <c r="J88" s="541"/>
      <c r="N88" s="4"/>
    </row>
    <row r="89" spans="2:18" x14ac:dyDescent="0.25">
      <c r="B89" s="536">
        <v>42451</v>
      </c>
      <c r="C89" s="540">
        <v>5260</v>
      </c>
      <c r="D89" s="587">
        <v>16.2089</v>
      </c>
      <c r="E89" s="541">
        <v>11.44</v>
      </c>
      <c r="F89" s="541">
        <f t="shared" si="6"/>
        <v>-25084.414000000001</v>
      </c>
      <c r="G89" s="541">
        <f t="shared" si="7"/>
        <v>85258.813999999998</v>
      </c>
      <c r="H89" s="588">
        <f t="shared" si="8"/>
        <v>-0.29421490662537253</v>
      </c>
      <c r="I89" s="589"/>
      <c r="J89" s="589"/>
    </row>
    <row r="90" spans="2:18" x14ac:dyDescent="0.25">
      <c r="B90" s="536">
        <v>42451</v>
      </c>
      <c r="C90" s="540">
        <v>5360</v>
      </c>
      <c r="D90" s="587">
        <v>16.1083</v>
      </c>
      <c r="E90" s="541">
        <v>10.65</v>
      </c>
      <c r="F90" s="541">
        <f t="shared" si="6"/>
        <v>-29256.487999999998</v>
      </c>
      <c r="G90" s="541">
        <f t="shared" si="7"/>
        <v>86340.487999999998</v>
      </c>
      <c r="H90" s="588">
        <f t="shared" si="8"/>
        <v>-0.33885015799308427</v>
      </c>
      <c r="I90" s="589"/>
      <c r="J90" s="589"/>
    </row>
    <row r="91" spans="2:18" x14ac:dyDescent="0.25">
      <c r="B91" s="536">
        <v>42461</v>
      </c>
      <c r="C91" s="540">
        <v>5260</v>
      </c>
      <c r="D91" s="587">
        <v>16.207000000000001</v>
      </c>
      <c r="E91" s="541">
        <v>10.92</v>
      </c>
      <c r="F91" s="541">
        <f t="shared" si="6"/>
        <v>-27809.620000000003</v>
      </c>
      <c r="G91" s="541">
        <f t="shared" si="7"/>
        <v>85248.82</v>
      </c>
      <c r="H91" s="588">
        <f t="shared" si="8"/>
        <v>-0.32621706669957429</v>
      </c>
      <c r="I91" s="541"/>
      <c r="J91" s="541"/>
    </row>
    <row r="92" spans="2:18" x14ac:dyDescent="0.25">
      <c r="B92" s="536">
        <v>42465</v>
      </c>
      <c r="C92" s="540">
        <v>5260</v>
      </c>
      <c r="D92" s="587">
        <v>16.207000000000001</v>
      </c>
      <c r="E92" s="541">
        <v>10.4</v>
      </c>
      <c r="F92" s="541">
        <f t="shared" si="6"/>
        <v>-30544.820000000003</v>
      </c>
      <c r="G92" s="541">
        <f t="shared" si="7"/>
        <v>85248.82</v>
      </c>
      <c r="H92" s="588">
        <f t="shared" si="8"/>
        <v>-0.3583019682853088</v>
      </c>
      <c r="I92" s="541"/>
      <c r="J92" s="541"/>
    </row>
    <row r="93" spans="2:18" x14ac:dyDescent="0.25">
      <c r="B93" s="536">
        <v>42467</v>
      </c>
      <c r="C93" s="540">
        <v>5760</v>
      </c>
      <c r="D93" s="587">
        <v>15.703799999999999</v>
      </c>
      <c r="E93" s="541">
        <v>10.4</v>
      </c>
      <c r="F93" s="541">
        <f t="shared" si="6"/>
        <v>-30549.887999999995</v>
      </c>
      <c r="G93" s="541">
        <f t="shared" si="7"/>
        <v>90453.887999999992</v>
      </c>
      <c r="H93" s="588">
        <f t="shared" si="8"/>
        <v>-0.33773991008545695</v>
      </c>
      <c r="I93" s="541"/>
      <c r="J93" s="541"/>
    </row>
    <row r="94" spans="2:18" x14ac:dyDescent="0.25">
      <c r="B94" s="536">
        <v>42468</v>
      </c>
      <c r="C94" s="540">
        <v>5260</v>
      </c>
      <c r="D94" s="587">
        <v>16.167100000000001</v>
      </c>
      <c r="E94" s="541">
        <v>10.76</v>
      </c>
      <c r="F94" s="541">
        <f t="shared" si="6"/>
        <v>-28441.346000000009</v>
      </c>
      <c r="G94" s="541">
        <f t="shared" si="7"/>
        <v>85038.946000000011</v>
      </c>
      <c r="H94" s="588">
        <f t="shared" si="8"/>
        <v>-0.33445082915303309</v>
      </c>
      <c r="I94" s="589" t="s">
        <v>192</v>
      </c>
      <c r="J94" s="589"/>
    </row>
    <row r="95" spans="2:18" x14ac:dyDescent="0.25">
      <c r="B95" s="536">
        <v>42472</v>
      </c>
      <c r="C95" s="540">
        <v>5860</v>
      </c>
      <c r="D95" s="587">
        <v>15.567399999999999</v>
      </c>
      <c r="E95" s="541">
        <v>10.17</v>
      </c>
      <c r="F95" s="541">
        <f t="shared" si="6"/>
        <v>-31628.763999999996</v>
      </c>
      <c r="G95" s="541">
        <f t="shared" si="7"/>
        <v>91224.963999999993</v>
      </c>
      <c r="H95" s="588">
        <f t="shared" si="8"/>
        <v>-0.34671171807752094</v>
      </c>
      <c r="I95" s="541"/>
      <c r="J95" s="541"/>
    </row>
    <row r="96" spans="2:18" x14ac:dyDescent="0.25">
      <c r="B96" s="536">
        <v>42473</v>
      </c>
      <c r="C96" s="540">
        <v>5260</v>
      </c>
      <c r="D96" s="587">
        <v>16.1158</v>
      </c>
      <c r="E96" s="541">
        <v>10.88</v>
      </c>
      <c r="F96" s="541">
        <f t="shared" si="6"/>
        <v>-27540.307999999997</v>
      </c>
      <c r="G96" s="541">
        <f t="shared" si="7"/>
        <v>84769.108000000007</v>
      </c>
      <c r="H96" s="588">
        <f t="shared" si="8"/>
        <v>-0.32488613658645549</v>
      </c>
      <c r="I96" s="541"/>
      <c r="J96" s="541"/>
    </row>
    <row r="97" spans="2:16" x14ac:dyDescent="0.25">
      <c r="B97" s="536">
        <v>42484</v>
      </c>
      <c r="C97" s="540">
        <v>5260</v>
      </c>
      <c r="D97" s="587">
        <v>16.1158</v>
      </c>
      <c r="E97" s="541">
        <v>10.66</v>
      </c>
      <c r="F97" s="541">
        <f t="shared" si="6"/>
        <v>-28697.508000000002</v>
      </c>
      <c r="G97" s="541">
        <f t="shared" si="7"/>
        <v>84769.108000000007</v>
      </c>
      <c r="H97" s="588">
        <f t="shared" si="8"/>
        <v>-0.33853733603047942</v>
      </c>
      <c r="I97" s="541"/>
      <c r="J97" s="541"/>
    </row>
    <row r="98" spans="2:16" x14ac:dyDescent="0.25">
      <c r="B98" s="536">
        <v>42486</v>
      </c>
      <c r="C98" s="540">
        <v>4260</v>
      </c>
      <c r="D98" s="587">
        <v>17.2287</v>
      </c>
      <c r="E98" s="541">
        <v>11.51</v>
      </c>
      <c r="F98" s="541">
        <f t="shared" si="6"/>
        <v>-24361.662</v>
      </c>
      <c r="G98" s="541">
        <f t="shared" si="7"/>
        <v>73394.262000000002</v>
      </c>
      <c r="H98" s="588">
        <f t="shared" si="8"/>
        <v>-0.33192870036624933</v>
      </c>
      <c r="I98" s="541"/>
      <c r="J98" s="541"/>
    </row>
    <row r="99" spans="2:16" x14ac:dyDescent="0.25">
      <c r="B99" s="536">
        <v>42487</v>
      </c>
      <c r="C99" s="540">
        <v>5260</v>
      </c>
      <c r="D99" s="587">
        <v>16.099699999999999</v>
      </c>
      <c r="E99" s="541">
        <v>11.56</v>
      </c>
      <c r="F99" s="541">
        <f t="shared" si="6"/>
        <v>-23878.821999999989</v>
      </c>
      <c r="G99" s="541">
        <f t="shared" si="7"/>
        <v>84684.421999999991</v>
      </c>
      <c r="H99" s="588">
        <f t="shared" si="8"/>
        <v>-0.28197419827698644</v>
      </c>
      <c r="I99" s="541"/>
      <c r="J99" s="541"/>
      <c r="O99" s="4"/>
      <c r="P99" s="235"/>
    </row>
    <row r="100" spans="2:16" x14ac:dyDescent="0.25">
      <c r="B100" s="536">
        <v>42488</v>
      </c>
      <c r="C100" s="540">
        <v>5260</v>
      </c>
      <c r="D100" s="587">
        <v>16.078399999999998</v>
      </c>
      <c r="E100" s="541">
        <v>11.62</v>
      </c>
      <c r="F100" s="541">
        <f t="shared" si="6"/>
        <v>-23451.183999999997</v>
      </c>
      <c r="G100" s="541">
        <f t="shared" si="7"/>
        <v>84572.383999999991</v>
      </c>
      <c r="H100" s="588">
        <f t="shared" si="8"/>
        <v>-0.27729127276345905</v>
      </c>
      <c r="I100" s="541"/>
      <c r="J100" s="541"/>
      <c r="O100" s="4"/>
      <c r="P100" s="4"/>
    </row>
    <row r="101" spans="2:16" x14ac:dyDescent="0.25">
      <c r="B101" s="536">
        <v>42489</v>
      </c>
      <c r="C101" s="540">
        <v>5500</v>
      </c>
      <c r="D101" s="587">
        <v>15.848599999999999</v>
      </c>
      <c r="E101" s="541">
        <v>10.75</v>
      </c>
      <c r="F101" s="541">
        <f t="shared" si="6"/>
        <v>-28042.299999999996</v>
      </c>
      <c r="G101" s="541">
        <f t="shared" si="7"/>
        <v>87167.3</v>
      </c>
      <c r="H101" s="588">
        <f t="shared" si="8"/>
        <v>-0.32170664916774983</v>
      </c>
      <c r="I101" s="541"/>
      <c r="J101" s="541"/>
      <c r="O101" s="4"/>
      <c r="P101" s="4"/>
    </row>
    <row r="102" spans="2:16" x14ac:dyDescent="0.25">
      <c r="B102" s="536">
        <v>42494</v>
      </c>
      <c r="C102" s="540">
        <v>6500</v>
      </c>
      <c r="D102" s="587">
        <v>14.9526</v>
      </c>
      <c r="E102" s="541">
        <v>10</v>
      </c>
      <c r="F102" s="541">
        <f t="shared" si="6"/>
        <v>-32191.9</v>
      </c>
      <c r="G102" s="541">
        <f t="shared" si="7"/>
        <v>97191.900000000009</v>
      </c>
      <c r="H102" s="588">
        <f t="shared" si="8"/>
        <v>-0.33121998849698381</v>
      </c>
      <c r="I102" s="541"/>
      <c r="J102" s="541"/>
    </row>
    <row r="103" spans="2:16" x14ac:dyDescent="0.25">
      <c r="B103" s="536">
        <v>42495</v>
      </c>
      <c r="C103" s="540">
        <v>5500</v>
      </c>
      <c r="D103" s="587">
        <v>15.7966</v>
      </c>
      <c r="E103" s="541">
        <v>10.06</v>
      </c>
      <c r="F103" s="541">
        <f t="shared" si="6"/>
        <v>-31551.299999999996</v>
      </c>
      <c r="G103" s="541">
        <f t="shared" si="7"/>
        <v>86881.3</v>
      </c>
      <c r="H103" s="588">
        <f t="shared" si="8"/>
        <v>-0.363154096451135</v>
      </c>
      <c r="I103" s="541"/>
      <c r="J103" s="541"/>
    </row>
    <row r="104" spans="2:16" x14ac:dyDescent="0.25">
      <c r="B104" s="536">
        <v>42502</v>
      </c>
      <c r="C104" s="540">
        <v>8500</v>
      </c>
      <c r="D104" s="587">
        <v>13.6378</v>
      </c>
      <c r="E104" s="541">
        <v>9.6199999999999992</v>
      </c>
      <c r="F104" s="541">
        <f t="shared" si="6"/>
        <v>-34151.30000000001</v>
      </c>
      <c r="G104" s="541">
        <f t="shared" si="7"/>
        <v>115921.3</v>
      </c>
      <c r="H104" s="588">
        <f t="shared" si="8"/>
        <v>-0.2946076346624823</v>
      </c>
      <c r="I104" s="541"/>
      <c r="J104" s="541"/>
    </row>
    <row r="105" spans="2:16" x14ac:dyDescent="0.25">
      <c r="B105" s="536">
        <v>42503</v>
      </c>
      <c r="C105" s="540">
        <v>5500</v>
      </c>
      <c r="D105" s="587">
        <v>15.754899999999999</v>
      </c>
      <c r="E105" s="541">
        <v>9.58</v>
      </c>
      <c r="F105" s="541">
        <f t="shared" si="6"/>
        <v>-33961.949999999997</v>
      </c>
      <c r="G105" s="541">
        <f t="shared" si="7"/>
        <v>86651.95</v>
      </c>
      <c r="H105" s="588">
        <f t="shared" si="8"/>
        <v>-0.39193520745926663</v>
      </c>
      <c r="I105" s="541"/>
      <c r="J105" s="541"/>
    </row>
    <row r="106" spans="2:16" x14ac:dyDescent="0.25">
      <c r="B106" s="536">
        <v>42510</v>
      </c>
      <c r="C106" s="590">
        <v>5000</v>
      </c>
      <c r="D106" s="591">
        <v>16.255400000000002</v>
      </c>
      <c r="E106" s="541">
        <v>10.8</v>
      </c>
      <c r="F106" s="541">
        <f t="shared" si="6"/>
        <v>-27277.000000000004</v>
      </c>
      <c r="G106" s="541">
        <f t="shared" si="7"/>
        <v>81277.000000000015</v>
      </c>
      <c r="H106" s="588">
        <f t="shared" si="8"/>
        <v>-0.33560539882131479</v>
      </c>
      <c r="I106" s="541"/>
      <c r="J106" s="541"/>
    </row>
    <row r="107" spans="2:16" x14ac:dyDescent="0.25">
      <c r="B107" s="536">
        <v>42514</v>
      </c>
      <c r="C107" s="540">
        <v>4500</v>
      </c>
      <c r="D107" s="587">
        <v>16.752199999999998</v>
      </c>
      <c r="E107" s="541">
        <v>11.49</v>
      </c>
      <c r="F107" s="541">
        <f t="shared" si="6"/>
        <v>-23679.899999999991</v>
      </c>
      <c r="G107" s="541">
        <f t="shared" si="7"/>
        <v>75384.899999999994</v>
      </c>
      <c r="H107" s="588">
        <f t="shared" si="8"/>
        <v>-0.31411993648595399</v>
      </c>
      <c r="I107" s="541"/>
      <c r="J107" s="541"/>
    </row>
    <row r="108" spans="2:16" x14ac:dyDescent="0.25">
      <c r="B108" s="536">
        <v>42515</v>
      </c>
      <c r="C108" s="540">
        <v>4500</v>
      </c>
      <c r="D108" s="587">
        <v>16.746700000000001</v>
      </c>
      <c r="E108" s="541">
        <v>11.6</v>
      </c>
      <c r="F108" s="541">
        <f t="shared" si="6"/>
        <v>-23160.150000000005</v>
      </c>
      <c r="G108" s="541">
        <f t="shared" si="7"/>
        <v>75360.150000000009</v>
      </c>
      <c r="H108" s="588">
        <f t="shared" si="8"/>
        <v>-0.30732621949398992</v>
      </c>
      <c r="I108" s="541"/>
      <c r="J108" s="541"/>
    </row>
    <row r="109" spans="2:16" x14ac:dyDescent="0.25">
      <c r="B109" s="536">
        <v>42516</v>
      </c>
      <c r="C109" s="540">
        <v>4000</v>
      </c>
      <c r="D109" s="587">
        <v>17.344999999999999</v>
      </c>
      <c r="E109" s="541">
        <v>11.95</v>
      </c>
      <c r="F109" s="541">
        <f t="shared" si="6"/>
        <v>-21580</v>
      </c>
      <c r="G109" s="541">
        <f t="shared" si="7"/>
        <v>69380</v>
      </c>
      <c r="H109" s="588">
        <f t="shared" si="8"/>
        <v>-0.31104064571922746</v>
      </c>
      <c r="I109" s="541"/>
      <c r="J109" s="541"/>
    </row>
    <row r="110" spans="2:16" x14ac:dyDescent="0.25">
      <c r="B110" s="536">
        <v>42517</v>
      </c>
      <c r="C110" s="540">
        <v>4000</v>
      </c>
      <c r="D110" s="587">
        <v>17.322700000000001</v>
      </c>
      <c r="E110" s="541">
        <v>12.31</v>
      </c>
      <c r="F110" s="541">
        <f t="shared" si="6"/>
        <v>-20050.800000000003</v>
      </c>
      <c r="G110" s="541">
        <f t="shared" si="7"/>
        <v>69290.8</v>
      </c>
      <c r="H110" s="588">
        <f t="shared" si="8"/>
        <v>-0.28937174920768705</v>
      </c>
      <c r="I110" s="541"/>
      <c r="J110" s="541"/>
    </row>
    <row r="111" spans="2:16" x14ac:dyDescent="0.25">
      <c r="B111" s="536">
        <v>42522</v>
      </c>
      <c r="C111" s="540">
        <v>3375</v>
      </c>
      <c r="D111" s="587">
        <v>18.078900000000001</v>
      </c>
      <c r="E111" s="541">
        <v>13.09</v>
      </c>
      <c r="F111" s="541">
        <f t="shared" si="6"/>
        <v>-16837.537500000002</v>
      </c>
      <c r="G111" s="541">
        <f t="shared" si="7"/>
        <v>61016.287500000006</v>
      </c>
      <c r="H111" s="588">
        <f t="shared" si="8"/>
        <v>-0.27595152359933406</v>
      </c>
      <c r="I111" s="541"/>
      <c r="J111" s="541"/>
    </row>
    <row r="112" spans="2:16" x14ac:dyDescent="0.25">
      <c r="B112" s="536">
        <v>42524</v>
      </c>
      <c r="C112" s="540">
        <v>4000</v>
      </c>
      <c r="D112" s="587">
        <v>17.229099999999999</v>
      </c>
      <c r="E112" s="541">
        <v>12.86</v>
      </c>
      <c r="F112" s="541">
        <f t="shared" si="6"/>
        <v>-17476.399999999998</v>
      </c>
      <c r="G112" s="541">
        <f t="shared" si="7"/>
        <v>68916.399999999994</v>
      </c>
      <c r="H112" s="588">
        <f t="shared" si="8"/>
        <v>-0.25358840566251284</v>
      </c>
      <c r="I112" s="541"/>
      <c r="J112" s="541"/>
    </row>
    <row r="113" spans="2:10" x14ac:dyDescent="0.25">
      <c r="B113" s="536">
        <v>42530</v>
      </c>
      <c r="C113" s="540">
        <v>4000</v>
      </c>
      <c r="D113" s="587">
        <v>17.184100000000001</v>
      </c>
      <c r="E113" s="541">
        <v>12.51</v>
      </c>
      <c r="F113" s="541">
        <f t="shared" si="6"/>
        <v>-18696.400000000005</v>
      </c>
      <c r="G113" s="541">
        <f t="shared" si="7"/>
        <v>68736.400000000009</v>
      </c>
      <c r="H113" s="588">
        <f t="shared" si="8"/>
        <v>-0.27200144319458108</v>
      </c>
      <c r="I113" s="541"/>
      <c r="J113" s="541"/>
    </row>
    <row r="114" spans="2:10" x14ac:dyDescent="0.25">
      <c r="B114" s="536">
        <v>42532</v>
      </c>
      <c r="C114" s="540">
        <v>4760</v>
      </c>
      <c r="D114" s="587">
        <v>16.386800000000001</v>
      </c>
      <c r="E114" s="541">
        <v>12.14</v>
      </c>
      <c r="F114" s="541">
        <f t="shared" si="6"/>
        <v>-20214.768</v>
      </c>
      <c r="G114" s="541">
        <f t="shared" si="7"/>
        <v>78001.168000000005</v>
      </c>
      <c r="H114" s="588">
        <f t="shared" si="8"/>
        <v>-0.25915981155564233</v>
      </c>
      <c r="I114" s="541"/>
      <c r="J114" s="541"/>
    </row>
    <row r="115" spans="2:10" x14ac:dyDescent="0.25">
      <c r="B115" s="536">
        <v>42535</v>
      </c>
      <c r="C115" s="540">
        <v>4760</v>
      </c>
      <c r="D115" s="587">
        <v>16.387</v>
      </c>
      <c r="E115" s="541">
        <v>11.92</v>
      </c>
      <c r="F115" s="541">
        <f t="shared" si="6"/>
        <v>-21262.920000000002</v>
      </c>
      <c r="G115" s="541">
        <f t="shared" si="7"/>
        <v>78002.12</v>
      </c>
      <c r="H115" s="588">
        <f t="shared" si="8"/>
        <v>-0.27259412949289075</v>
      </c>
      <c r="I115" s="541"/>
      <c r="J115" s="541"/>
    </row>
    <row r="116" spans="2:10" x14ac:dyDescent="0.25">
      <c r="B116" s="536">
        <v>42537</v>
      </c>
      <c r="C116" s="540">
        <v>4760</v>
      </c>
      <c r="D116" s="587">
        <v>16.361599999999999</v>
      </c>
      <c r="E116" s="541">
        <v>11.95</v>
      </c>
      <c r="F116" s="541">
        <f t="shared" si="6"/>
        <v>-20999.216</v>
      </c>
      <c r="G116" s="541">
        <f t="shared" si="7"/>
        <v>77881.216</v>
      </c>
      <c r="H116" s="588">
        <f t="shared" si="8"/>
        <v>-0.26963133189908078</v>
      </c>
      <c r="I116" s="541"/>
      <c r="J116" s="541"/>
    </row>
    <row r="117" spans="2:10" x14ac:dyDescent="0.25">
      <c r="B117" s="536">
        <v>42541</v>
      </c>
      <c r="C117" s="540">
        <v>4600</v>
      </c>
      <c r="D117" s="587">
        <v>16.459700000000002</v>
      </c>
      <c r="E117" s="541">
        <v>12.32</v>
      </c>
      <c r="F117" s="541">
        <f t="shared" si="6"/>
        <v>-19042.620000000006</v>
      </c>
      <c r="G117" s="541">
        <f t="shared" si="7"/>
        <v>75714.62000000001</v>
      </c>
      <c r="H117" s="588">
        <f t="shared" si="8"/>
        <v>-0.25150519146764527</v>
      </c>
      <c r="I117" s="541"/>
      <c r="J117" s="541"/>
    </row>
    <row r="118" spans="2:10" x14ac:dyDescent="0.25">
      <c r="B118" s="536">
        <v>42542</v>
      </c>
      <c r="C118" s="540">
        <v>4000</v>
      </c>
      <c r="D118" s="587">
        <v>17.010200000000001</v>
      </c>
      <c r="E118" s="541">
        <v>12.75</v>
      </c>
      <c r="F118" s="541">
        <f t="shared" si="6"/>
        <v>-17040.800000000003</v>
      </c>
      <c r="G118" s="541">
        <f t="shared" si="7"/>
        <v>68040.800000000003</v>
      </c>
      <c r="H118" s="588">
        <f t="shared" si="8"/>
        <v>-0.25044973016190292</v>
      </c>
      <c r="I118" s="541"/>
      <c r="J118" s="541"/>
    </row>
    <row r="119" spans="2:10" x14ac:dyDescent="0.25">
      <c r="B119" s="536">
        <v>42544</v>
      </c>
      <c r="C119" s="540">
        <v>2500</v>
      </c>
      <c r="D119" s="587">
        <v>18.952100000000002</v>
      </c>
      <c r="E119" s="541">
        <v>14.05</v>
      </c>
      <c r="F119" s="541">
        <f t="shared" si="6"/>
        <v>-12255.250000000002</v>
      </c>
      <c r="G119" s="541">
        <f t="shared" si="7"/>
        <v>47380.250000000007</v>
      </c>
      <c r="H119" s="588">
        <f t="shared" si="8"/>
        <v>-0.25865735195571998</v>
      </c>
      <c r="I119" s="541"/>
      <c r="J119" s="541"/>
    </row>
    <row r="120" spans="2:10" x14ac:dyDescent="0.25">
      <c r="B120" s="536">
        <v>42545</v>
      </c>
      <c r="C120" s="540">
        <v>3000</v>
      </c>
      <c r="D120" s="587">
        <v>18.046700000000001</v>
      </c>
      <c r="E120" s="541">
        <v>13.52</v>
      </c>
      <c r="F120" s="541">
        <f t="shared" si="6"/>
        <v>-13580.100000000006</v>
      </c>
      <c r="G120" s="541">
        <f t="shared" si="7"/>
        <v>54140.100000000006</v>
      </c>
      <c r="H120" s="588">
        <f t="shared" si="8"/>
        <v>-0.25083256218588446</v>
      </c>
      <c r="I120" s="541"/>
      <c r="J120" s="541"/>
    </row>
    <row r="121" spans="2:10" x14ac:dyDescent="0.25">
      <c r="B121" s="536">
        <v>42545</v>
      </c>
      <c r="C121" s="540">
        <v>3500</v>
      </c>
      <c r="D121" s="587">
        <v>17.391500000000001</v>
      </c>
      <c r="E121" s="541">
        <v>13.46</v>
      </c>
      <c r="F121" s="541">
        <f t="shared" si="6"/>
        <v>-13760.25</v>
      </c>
      <c r="G121" s="541">
        <f t="shared" si="7"/>
        <v>60870.25</v>
      </c>
      <c r="H121" s="588">
        <f t="shared" si="8"/>
        <v>-0.22605870683954804</v>
      </c>
      <c r="I121" s="541"/>
      <c r="J121" s="541"/>
    </row>
    <row r="122" spans="2:10" x14ac:dyDescent="0.25">
      <c r="B122" s="536">
        <v>42545</v>
      </c>
      <c r="C122" s="540">
        <v>4000</v>
      </c>
      <c r="D122" s="587">
        <v>16.8825</v>
      </c>
      <c r="E122" s="541">
        <v>13.32</v>
      </c>
      <c r="F122" s="541">
        <f t="shared" si="6"/>
        <v>-14250</v>
      </c>
      <c r="G122" s="541">
        <f t="shared" si="7"/>
        <v>67530</v>
      </c>
      <c r="H122" s="588">
        <f t="shared" si="8"/>
        <v>-0.21101732563305198</v>
      </c>
      <c r="I122" s="541"/>
      <c r="J122" s="541"/>
    </row>
    <row r="123" spans="2:10" x14ac:dyDescent="0.25">
      <c r="B123" s="536">
        <v>42548</v>
      </c>
      <c r="C123" s="540">
        <v>4760</v>
      </c>
      <c r="D123" s="587">
        <v>16.2315</v>
      </c>
      <c r="E123" s="541">
        <v>12.23</v>
      </c>
      <c r="F123" s="541">
        <f t="shared" si="6"/>
        <v>-19047.14</v>
      </c>
      <c r="G123" s="541">
        <f t="shared" si="7"/>
        <v>77261.94</v>
      </c>
      <c r="H123" s="588">
        <f t="shared" si="8"/>
        <v>-0.246526815143394</v>
      </c>
      <c r="I123" s="541"/>
      <c r="J123" s="541"/>
    </row>
    <row r="124" spans="2:10" x14ac:dyDescent="0.25">
      <c r="B124" s="536">
        <v>42548</v>
      </c>
      <c r="C124" s="540">
        <v>5260</v>
      </c>
      <c r="D124" s="587">
        <v>15.884399999999999</v>
      </c>
      <c r="E124" s="541">
        <v>12.23</v>
      </c>
      <c r="F124" s="541">
        <f t="shared" ref="F124:F171" si="9">-C124*(D124-E124)</f>
        <v>-19222.143999999993</v>
      </c>
      <c r="G124" s="541">
        <f t="shared" ref="G124:G171" si="10">IF(C124=0, 0,D124*C124)</f>
        <v>83551.944000000003</v>
      </c>
      <c r="H124" s="588">
        <f t="shared" ref="H124:H171" si="11">IF(C124=0, D124, (E124-D124)/D124)</f>
        <v>-0.23006219939059702</v>
      </c>
      <c r="I124" s="541"/>
      <c r="J124" s="541"/>
    </row>
    <row r="125" spans="2:10" x14ac:dyDescent="0.25">
      <c r="B125" s="536">
        <v>42549</v>
      </c>
      <c r="C125" s="540">
        <v>4500</v>
      </c>
      <c r="D125" s="587">
        <v>16.3767</v>
      </c>
      <c r="E125" s="541">
        <v>12.99</v>
      </c>
      <c r="F125" s="541">
        <f t="shared" si="9"/>
        <v>-15240.149999999998</v>
      </c>
      <c r="G125" s="541">
        <f t="shared" si="10"/>
        <v>73695.149999999994</v>
      </c>
      <c r="H125" s="588">
        <f t="shared" si="11"/>
        <v>-0.2067999047427137</v>
      </c>
      <c r="I125" s="541"/>
      <c r="J125" s="541"/>
    </row>
    <row r="126" spans="2:10" x14ac:dyDescent="0.25">
      <c r="B126" s="536">
        <v>42550</v>
      </c>
      <c r="C126" s="540">
        <v>4500</v>
      </c>
      <c r="D126" s="587">
        <v>16.3767</v>
      </c>
      <c r="E126" s="541">
        <v>13.19</v>
      </c>
      <c r="F126" s="541">
        <f t="shared" si="9"/>
        <v>-14340.15</v>
      </c>
      <c r="G126" s="541">
        <f t="shared" si="10"/>
        <v>73695.149999999994</v>
      </c>
      <c r="H126" s="588">
        <f t="shared" si="11"/>
        <v>-0.19458743214444912</v>
      </c>
      <c r="I126" s="541">
        <v>16</v>
      </c>
      <c r="J126" s="541"/>
    </row>
    <row r="127" spans="2:10" x14ac:dyDescent="0.25">
      <c r="B127" s="536">
        <v>42551</v>
      </c>
      <c r="C127" s="540">
        <v>4000</v>
      </c>
      <c r="D127" s="587">
        <v>16.708500000000001</v>
      </c>
      <c r="E127" s="541">
        <v>13.76</v>
      </c>
      <c r="F127" s="541">
        <f t="shared" si="9"/>
        <v>-11794.000000000004</v>
      </c>
      <c r="G127" s="541">
        <f t="shared" si="10"/>
        <v>66834</v>
      </c>
      <c r="H127" s="588">
        <f t="shared" si="11"/>
        <v>-0.176467067660173</v>
      </c>
      <c r="I127" s="541"/>
      <c r="J127" s="541"/>
    </row>
    <row r="128" spans="2:10" x14ac:dyDescent="0.25">
      <c r="B128" s="536">
        <v>42551</v>
      </c>
      <c r="C128" s="540">
        <v>4500</v>
      </c>
      <c r="D128" s="587">
        <v>16.23</v>
      </c>
      <c r="E128" s="541">
        <v>13.76</v>
      </c>
      <c r="F128" s="541">
        <f t="shared" si="9"/>
        <v>-11115.000000000004</v>
      </c>
      <c r="G128" s="541">
        <f t="shared" si="10"/>
        <v>73035</v>
      </c>
      <c r="H128" s="588">
        <f t="shared" si="11"/>
        <v>-0.15218730745532968</v>
      </c>
      <c r="I128" s="541" t="s">
        <v>230</v>
      </c>
      <c r="J128" s="541"/>
    </row>
    <row r="129" spans="2:10" x14ac:dyDescent="0.25">
      <c r="B129" s="536">
        <v>42552</v>
      </c>
      <c r="C129" s="540">
        <v>4500</v>
      </c>
      <c r="D129" s="587">
        <v>16.23</v>
      </c>
      <c r="E129" s="541">
        <v>12.5</v>
      </c>
      <c r="F129" s="541">
        <f t="shared" si="9"/>
        <v>-16785.000000000004</v>
      </c>
      <c r="G129" s="541">
        <f t="shared" si="10"/>
        <v>73035</v>
      </c>
      <c r="H129" s="588">
        <f t="shared" si="11"/>
        <v>-0.22982131854590268</v>
      </c>
      <c r="I129" s="541"/>
      <c r="J129" s="541"/>
    </row>
    <row r="130" spans="2:10" x14ac:dyDescent="0.25">
      <c r="B130" s="536">
        <v>42556</v>
      </c>
      <c r="C130" s="590">
        <v>5000</v>
      </c>
      <c r="D130" s="591">
        <v>15.7963</v>
      </c>
      <c r="E130" s="541">
        <v>11.91</v>
      </c>
      <c r="F130" s="541">
        <f t="shared" si="9"/>
        <v>-19431.5</v>
      </c>
      <c r="G130" s="541">
        <f t="shared" si="10"/>
        <v>78981.5</v>
      </c>
      <c r="H130" s="588">
        <f t="shared" si="11"/>
        <v>-0.24602596810645533</v>
      </c>
      <c r="I130" s="541">
        <v>15.6</v>
      </c>
      <c r="J130" s="541"/>
    </row>
    <row r="131" spans="2:10" x14ac:dyDescent="0.25">
      <c r="B131" s="536">
        <v>42557</v>
      </c>
      <c r="C131" s="540">
        <v>4500</v>
      </c>
      <c r="D131" s="587">
        <v>16.142600000000002</v>
      </c>
      <c r="E131" s="541">
        <v>12.2</v>
      </c>
      <c r="F131" s="541">
        <f t="shared" si="9"/>
        <v>-17741.700000000012</v>
      </c>
      <c r="G131" s="541">
        <f t="shared" si="10"/>
        <v>72641.700000000012</v>
      </c>
      <c r="H131" s="588">
        <f t="shared" si="11"/>
        <v>-0.24423574888803551</v>
      </c>
      <c r="I131" s="541"/>
      <c r="J131" s="541"/>
    </row>
    <row r="132" spans="2:10" x14ac:dyDescent="0.25">
      <c r="B132" s="536">
        <v>42559</v>
      </c>
      <c r="C132" s="540">
        <v>4500</v>
      </c>
      <c r="D132" s="587">
        <v>16.142600000000002</v>
      </c>
      <c r="E132" s="541">
        <v>12.62</v>
      </c>
      <c r="F132" s="541">
        <f t="shared" si="9"/>
        <v>-15851.700000000012</v>
      </c>
      <c r="G132" s="541">
        <f t="shared" si="10"/>
        <v>72641.700000000012</v>
      </c>
      <c r="H132" s="588">
        <f t="shared" si="11"/>
        <v>-0.21821763532516461</v>
      </c>
      <c r="I132" s="541"/>
      <c r="J132" s="541"/>
    </row>
    <row r="133" spans="2:10" x14ac:dyDescent="0.25">
      <c r="B133" s="536">
        <v>42562</v>
      </c>
      <c r="C133" s="540">
        <v>4500</v>
      </c>
      <c r="D133" s="587">
        <v>16.143000000000001</v>
      </c>
      <c r="E133" s="541">
        <v>12.64</v>
      </c>
      <c r="F133" s="541">
        <f t="shared" si="9"/>
        <v>-15763.5</v>
      </c>
      <c r="G133" s="541">
        <f t="shared" si="10"/>
        <v>72643.5</v>
      </c>
      <c r="H133" s="588">
        <f t="shared" si="11"/>
        <v>-0.21699807966301182</v>
      </c>
      <c r="I133" s="541"/>
      <c r="J133" s="541"/>
    </row>
    <row r="134" spans="2:10" x14ac:dyDescent="0.25">
      <c r="B134" s="536">
        <v>42572</v>
      </c>
      <c r="C134" s="540">
        <v>4500</v>
      </c>
      <c r="D134" s="587">
        <v>16.143000000000001</v>
      </c>
      <c r="E134" s="541">
        <v>13.18</v>
      </c>
      <c r="F134" s="541">
        <f t="shared" si="9"/>
        <v>-13333.500000000004</v>
      </c>
      <c r="G134" s="541">
        <f t="shared" si="10"/>
        <v>72643.5</v>
      </c>
      <c r="H134" s="588">
        <f t="shared" si="11"/>
        <v>-0.18354704825621018</v>
      </c>
      <c r="I134" s="541"/>
      <c r="J134" s="541"/>
    </row>
    <row r="135" spans="2:10" x14ac:dyDescent="0.25">
      <c r="B135" s="536">
        <v>42576</v>
      </c>
      <c r="C135" s="540">
        <v>4000</v>
      </c>
      <c r="D135" s="587">
        <v>16.433</v>
      </c>
      <c r="E135" s="541">
        <v>13.92</v>
      </c>
      <c r="F135" s="541">
        <f t="shared" si="9"/>
        <v>-10052</v>
      </c>
      <c r="G135" s="541">
        <f t="shared" si="10"/>
        <v>65732</v>
      </c>
      <c r="H135" s="588">
        <f t="shared" si="11"/>
        <v>-0.15292399440150917</v>
      </c>
      <c r="I135" s="541"/>
      <c r="J135" s="541"/>
    </row>
    <row r="136" spans="2:10" x14ac:dyDescent="0.25">
      <c r="B136" s="536">
        <v>42577</v>
      </c>
      <c r="C136" s="540">
        <v>3200</v>
      </c>
      <c r="D136" s="587">
        <v>16.935400000000001</v>
      </c>
      <c r="E136" s="541">
        <v>14.67</v>
      </c>
      <c r="F136" s="541">
        <f t="shared" si="9"/>
        <v>-7249.2800000000043</v>
      </c>
      <c r="G136" s="541">
        <f t="shared" si="10"/>
        <v>54193.280000000006</v>
      </c>
      <c r="H136" s="588">
        <f t="shared" si="11"/>
        <v>-0.1337671386563058</v>
      </c>
      <c r="I136" s="541"/>
      <c r="J136" s="541"/>
    </row>
    <row r="137" spans="2:10" x14ac:dyDescent="0.25">
      <c r="B137" s="536">
        <v>42578</v>
      </c>
      <c r="C137" s="540">
        <v>3400</v>
      </c>
      <c r="D137" s="587">
        <v>16.7698</v>
      </c>
      <c r="E137" s="541">
        <v>14.19</v>
      </c>
      <c r="F137" s="541">
        <f t="shared" si="9"/>
        <v>-8771.3200000000015</v>
      </c>
      <c r="G137" s="541">
        <f t="shared" si="10"/>
        <v>57017.32</v>
      </c>
      <c r="H137" s="588">
        <f t="shared" si="11"/>
        <v>-0.15383606244558673</v>
      </c>
      <c r="I137" s="541"/>
      <c r="J137" s="541"/>
    </row>
    <row r="138" spans="2:10" x14ac:dyDescent="0.25">
      <c r="B138" s="536">
        <v>42579</v>
      </c>
      <c r="C138" s="540">
        <v>4000</v>
      </c>
      <c r="D138" s="587">
        <v>16.327300000000001</v>
      </c>
      <c r="E138" s="541">
        <v>13.81</v>
      </c>
      <c r="F138" s="541">
        <f t="shared" si="9"/>
        <v>-10069.200000000003</v>
      </c>
      <c r="G138" s="541">
        <f t="shared" si="10"/>
        <v>65309.200000000004</v>
      </c>
      <c r="H138" s="588">
        <f t="shared" si="11"/>
        <v>-0.15417735939193869</v>
      </c>
      <c r="I138" s="541"/>
      <c r="J138" s="541"/>
    </row>
    <row r="139" spans="2:10" x14ac:dyDescent="0.25">
      <c r="B139" s="536">
        <v>42580</v>
      </c>
      <c r="C139" s="540">
        <v>4500</v>
      </c>
      <c r="D139" s="587">
        <v>16.026499999999999</v>
      </c>
      <c r="E139" s="541">
        <v>13.74</v>
      </c>
      <c r="F139" s="541">
        <f t="shared" si="9"/>
        <v>-10289.249999999993</v>
      </c>
      <c r="G139" s="541">
        <f t="shared" si="10"/>
        <v>72119.25</v>
      </c>
      <c r="H139" s="588">
        <f t="shared" si="11"/>
        <v>-0.14266995289052498</v>
      </c>
      <c r="I139" s="541"/>
      <c r="J139" s="541"/>
    </row>
    <row r="140" spans="2:10" x14ac:dyDescent="0.25">
      <c r="B140" s="536">
        <v>42585</v>
      </c>
      <c r="C140" s="540">
        <v>4700</v>
      </c>
      <c r="D140" s="587">
        <v>15.9011</v>
      </c>
      <c r="E140" s="541">
        <v>13.4</v>
      </c>
      <c r="F140" s="541">
        <f t="shared" si="9"/>
        <v>-11755.169999999996</v>
      </c>
      <c r="G140" s="541">
        <f t="shared" si="10"/>
        <v>74735.17</v>
      </c>
      <c r="H140" s="588">
        <f t="shared" si="11"/>
        <v>-0.15729100502480955</v>
      </c>
      <c r="I140" s="541"/>
      <c r="J140" s="541"/>
    </row>
    <row r="141" spans="2:10" x14ac:dyDescent="0.25">
      <c r="B141" s="536">
        <v>42586</v>
      </c>
      <c r="C141" s="540">
        <v>4500</v>
      </c>
      <c r="D141" s="587">
        <v>15.990399999999999</v>
      </c>
      <c r="E141" s="541">
        <v>14.03</v>
      </c>
      <c r="F141" s="541">
        <f t="shared" si="9"/>
        <v>-8821.7999999999993</v>
      </c>
      <c r="G141" s="541">
        <f t="shared" si="10"/>
        <v>71956.800000000003</v>
      </c>
      <c r="H141" s="588">
        <f t="shared" si="11"/>
        <v>-0.12259855913548129</v>
      </c>
      <c r="I141" s="541" t="s">
        <v>264</v>
      </c>
      <c r="J141" s="541"/>
    </row>
    <row r="142" spans="2:10" x14ac:dyDescent="0.25">
      <c r="B142" s="536">
        <v>42587</v>
      </c>
      <c r="C142" s="540">
        <v>4000</v>
      </c>
      <c r="D142" s="587">
        <v>16.158000000000001</v>
      </c>
      <c r="E142" s="541">
        <v>14.52</v>
      </c>
      <c r="F142" s="541">
        <f t="shared" si="9"/>
        <v>-6552.0000000000064</v>
      </c>
      <c r="G142" s="541">
        <f t="shared" si="10"/>
        <v>64632.000000000007</v>
      </c>
      <c r="H142" s="588">
        <f t="shared" si="11"/>
        <v>-0.10137393241737848</v>
      </c>
      <c r="I142" s="541">
        <v>16</v>
      </c>
      <c r="J142" s="541"/>
    </row>
    <row r="143" spans="2:10" x14ac:dyDescent="0.25">
      <c r="B143" s="536">
        <v>42593</v>
      </c>
      <c r="C143" s="540">
        <v>4000</v>
      </c>
      <c r="D143" s="587">
        <v>16.158000000000001</v>
      </c>
      <c r="E143" s="541">
        <v>14.2</v>
      </c>
      <c r="F143" s="541">
        <f t="shared" si="9"/>
        <v>-7832.0000000000082</v>
      </c>
      <c r="G143" s="541">
        <f t="shared" si="10"/>
        <v>64632.000000000007</v>
      </c>
      <c r="H143" s="588">
        <f t="shared" si="11"/>
        <v>-0.12117836365886879</v>
      </c>
      <c r="I143" s="541"/>
      <c r="J143" s="541"/>
    </row>
    <row r="144" spans="2:10" x14ac:dyDescent="0.25">
      <c r="B144" s="536">
        <v>42597</v>
      </c>
      <c r="C144" s="540">
        <v>2000</v>
      </c>
      <c r="D144" s="587">
        <v>17.3687</v>
      </c>
      <c r="E144" s="541">
        <v>15.53</v>
      </c>
      <c r="F144" s="541">
        <f t="shared" si="9"/>
        <v>-3677.4000000000024</v>
      </c>
      <c r="G144" s="541">
        <f t="shared" si="10"/>
        <v>34737.4</v>
      </c>
      <c r="H144" s="588">
        <f t="shared" si="11"/>
        <v>-0.10586284523309177</v>
      </c>
      <c r="I144" s="541">
        <v>17</v>
      </c>
      <c r="J144" s="541"/>
    </row>
    <row r="145" spans="2:10" x14ac:dyDescent="0.25">
      <c r="B145" s="536">
        <v>42599</v>
      </c>
      <c r="C145" s="540">
        <v>2000</v>
      </c>
      <c r="D145" s="587">
        <v>17.331299999999999</v>
      </c>
      <c r="E145" s="541">
        <v>15.52</v>
      </c>
      <c r="F145" s="541">
        <f t="shared" si="9"/>
        <v>-3622.5999999999985</v>
      </c>
      <c r="G145" s="541">
        <f t="shared" si="10"/>
        <v>34662.6</v>
      </c>
      <c r="H145" s="588">
        <f t="shared" si="11"/>
        <v>-0.10451033678950797</v>
      </c>
      <c r="I145" s="541"/>
      <c r="J145" s="541"/>
    </row>
    <row r="146" spans="2:10" x14ac:dyDescent="0.25">
      <c r="B146" s="536">
        <v>42600</v>
      </c>
      <c r="C146" s="540">
        <v>2000</v>
      </c>
      <c r="D146" s="587">
        <v>17.331299999999999</v>
      </c>
      <c r="E146" s="541">
        <v>15.77</v>
      </c>
      <c r="F146" s="541">
        <f t="shared" si="9"/>
        <v>-3122.5999999999985</v>
      </c>
      <c r="G146" s="541">
        <f t="shared" si="10"/>
        <v>34662.6</v>
      </c>
      <c r="H146" s="588">
        <f t="shared" si="11"/>
        <v>-9.0085567730060601E-2</v>
      </c>
      <c r="I146" s="541"/>
      <c r="J146" s="541"/>
    </row>
    <row r="147" spans="2:10" x14ac:dyDescent="0.25">
      <c r="B147" s="536">
        <v>42601</v>
      </c>
      <c r="C147" s="540">
        <v>2000</v>
      </c>
      <c r="D147" s="587">
        <v>17.331299999999999</v>
      </c>
      <c r="E147" s="541">
        <v>16.25</v>
      </c>
      <c r="F147" s="541">
        <f t="shared" si="9"/>
        <v>-2162.5999999999976</v>
      </c>
      <c r="G147" s="541">
        <f t="shared" si="10"/>
        <v>34662.6</v>
      </c>
      <c r="H147" s="588">
        <f t="shared" si="11"/>
        <v>-6.2390011135921651E-2</v>
      </c>
      <c r="I147" s="541"/>
      <c r="J147" s="541"/>
    </row>
    <row r="148" spans="2:10" x14ac:dyDescent="0.25">
      <c r="B148" s="536">
        <v>42604</v>
      </c>
      <c r="C148" s="540">
        <v>2000</v>
      </c>
      <c r="D148" s="587">
        <v>17.331299999999999</v>
      </c>
      <c r="E148" s="541">
        <v>16.190000000000001</v>
      </c>
      <c r="F148" s="541">
        <f t="shared" si="9"/>
        <v>-2282.5999999999949</v>
      </c>
      <c r="G148" s="541">
        <f t="shared" si="10"/>
        <v>34662.6</v>
      </c>
      <c r="H148" s="588">
        <f t="shared" si="11"/>
        <v>-6.5851955710188939E-2</v>
      </c>
      <c r="I148" s="541"/>
      <c r="J148" s="541"/>
    </row>
    <row r="149" spans="2:10" x14ac:dyDescent="0.25">
      <c r="B149" s="536">
        <v>42607</v>
      </c>
      <c r="C149" s="540">
        <v>2000</v>
      </c>
      <c r="D149" s="587">
        <v>17.331299999999999</v>
      </c>
      <c r="E149" s="541">
        <v>16.2</v>
      </c>
      <c r="F149" s="541">
        <f t="shared" si="9"/>
        <v>-2262.599999999999</v>
      </c>
      <c r="G149" s="541">
        <f t="shared" si="10"/>
        <v>34662.6</v>
      </c>
      <c r="H149" s="588">
        <f t="shared" si="11"/>
        <v>-6.5274964947811168E-2</v>
      </c>
      <c r="I149" s="541"/>
      <c r="J149" s="541"/>
    </row>
    <row r="150" spans="2:10" x14ac:dyDescent="0.25">
      <c r="B150" s="536">
        <v>42609</v>
      </c>
      <c r="C150" s="540">
        <v>2000</v>
      </c>
      <c r="D150" s="587">
        <v>17.331299999999999</v>
      </c>
      <c r="E150" s="541">
        <v>16.91</v>
      </c>
      <c r="F150" s="541">
        <f t="shared" si="9"/>
        <v>-842.59999999999741</v>
      </c>
      <c r="G150" s="541">
        <f t="shared" si="10"/>
        <v>34662.6</v>
      </c>
      <c r="H150" s="588">
        <f t="shared" si="11"/>
        <v>-2.4308620818980612E-2</v>
      </c>
      <c r="I150" s="541"/>
      <c r="J150" s="541"/>
    </row>
    <row r="151" spans="2:10" x14ac:dyDescent="0.25">
      <c r="B151" s="536">
        <v>42612</v>
      </c>
      <c r="C151" s="540">
        <v>2000</v>
      </c>
      <c r="D151" s="587">
        <v>17.331299999999999</v>
      </c>
      <c r="E151" s="541">
        <v>16.739999999999998</v>
      </c>
      <c r="F151" s="541">
        <f t="shared" si="9"/>
        <v>-1182.6000000000008</v>
      </c>
      <c r="G151" s="541">
        <f t="shared" si="10"/>
        <v>34662.6</v>
      </c>
      <c r="H151" s="588">
        <f t="shared" si="11"/>
        <v>-3.4117463779404916E-2</v>
      </c>
      <c r="I151" s="541"/>
      <c r="J151" s="541"/>
    </row>
    <row r="152" spans="2:10" x14ac:dyDescent="0.25">
      <c r="B152" s="536">
        <v>42615</v>
      </c>
      <c r="C152" s="540">
        <v>2000</v>
      </c>
      <c r="D152" s="587">
        <v>17.331299999999999</v>
      </c>
      <c r="E152" s="541">
        <v>16.7</v>
      </c>
      <c r="F152" s="541">
        <f t="shared" si="9"/>
        <v>-1262.599999999999</v>
      </c>
      <c r="G152" s="541">
        <f t="shared" si="10"/>
        <v>34662.6</v>
      </c>
      <c r="H152" s="588">
        <f t="shared" si="11"/>
        <v>-3.6425426828916446E-2</v>
      </c>
      <c r="I152" s="541"/>
      <c r="J152" s="541"/>
    </row>
    <row r="153" spans="2:10" x14ac:dyDescent="0.25">
      <c r="B153" s="536">
        <v>42619</v>
      </c>
      <c r="C153" s="540">
        <v>2000</v>
      </c>
      <c r="D153" s="587">
        <v>17.273900000000001</v>
      </c>
      <c r="E153" s="541">
        <v>17.010000000000002</v>
      </c>
      <c r="F153" s="541">
        <f t="shared" si="9"/>
        <v>-527.79999999999916</v>
      </c>
      <c r="G153" s="541">
        <f t="shared" si="10"/>
        <v>34547.800000000003</v>
      </c>
      <c r="H153" s="588">
        <f t="shared" si="11"/>
        <v>-1.5277383798678906E-2</v>
      </c>
      <c r="I153" s="541">
        <v>17</v>
      </c>
      <c r="J153" s="541"/>
    </row>
    <row r="154" spans="2:10" x14ac:dyDescent="0.25">
      <c r="B154" s="536">
        <v>42620</v>
      </c>
      <c r="C154" s="540">
        <v>2000</v>
      </c>
      <c r="D154" s="587">
        <v>17.234000000000002</v>
      </c>
      <c r="E154" s="541">
        <v>17.16</v>
      </c>
      <c r="F154" s="541">
        <f t="shared" si="9"/>
        <v>-148.00000000000324</v>
      </c>
      <c r="G154" s="541">
        <f t="shared" si="10"/>
        <v>34468</v>
      </c>
      <c r="H154" s="588">
        <f t="shared" si="11"/>
        <v>-4.2938377625624706E-3</v>
      </c>
      <c r="I154" s="541">
        <v>17</v>
      </c>
      <c r="J154" s="541"/>
    </row>
    <row r="155" spans="2:10" x14ac:dyDescent="0.25">
      <c r="B155" s="536">
        <v>42621</v>
      </c>
      <c r="C155" s="540">
        <v>1500</v>
      </c>
      <c r="D155" s="587">
        <v>17.168800000000001</v>
      </c>
      <c r="E155" s="541">
        <v>17.45</v>
      </c>
      <c r="F155" s="541">
        <f t="shared" si="9"/>
        <v>421.79999999999751</v>
      </c>
      <c r="G155" s="541">
        <f t="shared" si="10"/>
        <v>25753.200000000001</v>
      </c>
      <c r="H155" s="588">
        <f t="shared" si="11"/>
        <v>1.6378547132006798E-2</v>
      </c>
      <c r="I155" s="541"/>
      <c r="J155" s="541"/>
    </row>
    <row r="156" spans="2:10" x14ac:dyDescent="0.25">
      <c r="B156" s="536">
        <v>42622</v>
      </c>
      <c r="C156" s="540">
        <v>2000</v>
      </c>
      <c r="D156" s="587">
        <v>17.137899999999998</v>
      </c>
      <c r="E156" s="541">
        <v>16.809999999999999</v>
      </c>
      <c r="F156" s="541">
        <f t="shared" si="9"/>
        <v>-655.79999999999927</v>
      </c>
      <c r="G156" s="541">
        <f t="shared" si="10"/>
        <v>34275.799999999996</v>
      </c>
      <c r="H156" s="588">
        <f t="shared" si="11"/>
        <v>-1.9133032635270348E-2</v>
      </c>
      <c r="I156" s="541">
        <v>17</v>
      </c>
      <c r="J156" s="541"/>
    </row>
    <row r="157" spans="2:10" x14ac:dyDescent="0.25">
      <c r="B157" s="536">
        <v>42625</v>
      </c>
      <c r="C157" s="540">
        <v>2000</v>
      </c>
      <c r="D157" s="587">
        <v>17.137899999999998</v>
      </c>
      <c r="E157" s="541">
        <v>17.149999999999999</v>
      </c>
      <c r="F157" s="541">
        <f t="shared" si="9"/>
        <v>24.200000000000443</v>
      </c>
      <c r="G157" s="541">
        <f t="shared" si="10"/>
        <v>34275.799999999996</v>
      </c>
      <c r="H157" s="588">
        <f t="shared" si="11"/>
        <v>7.0603749584256077E-4</v>
      </c>
      <c r="I157" s="541"/>
      <c r="J157" s="541"/>
    </row>
    <row r="158" spans="2:10" x14ac:dyDescent="0.25">
      <c r="B158" s="536">
        <v>42626</v>
      </c>
      <c r="C158" s="540">
        <v>2100</v>
      </c>
      <c r="D158" s="587">
        <v>17.1065</v>
      </c>
      <c r="E158" s="541">
        <v>16.75</v>
      </c>
      <c r="F158" s="541">
        <f t="shared" si="9"/>
        <v>-748.650000000001</v>
      </c>
      <c r="G158" s="541">
        <f t="shared" si="10"/>
        <v>35923.65</v>
      </c>
      <c r="H158" s="588">
        <f t="shared" si="11"/>
        <v>-2.0840031566948265E-2</v>
      </c>
      <c r="I158" s="541"/>
      <c r="J158" s="541"/>
    </row>
    <row r="159" spans="2:10" x14ac:dyDescent="0.25">
      <c r="B159" s="536">
        <v>42627</v>
      </c>
      <c r="C159" s="540">
        <v>2100</v>
      </c>
      <c r="D159" s="587">
        <v>17.1065</v>
      </c>
      <c r="E159" s="541">
        <v>16.93</v>
      </c>
      <c r="F159" s="541">
        <f t="shared" si="9"/>
        <v>-370.65000000000163</v>
      </c>
      <c r="G159" s="541">
        <f t="shared" si="10"/>
        <v>35923.65</v>
      </c>
      <c r="H159" s="588">
        <f t="shared" si="11"/>
        <v>-1.0317715488264739E-2</v>
      </c>
      <c r="I159" s="541"/>
      <c r="J159" s="541"/>
    </row>
    <row r="160" spans="2:10" x14ac:dyDescent="0.25">
      <c r="B160" s="536">
        <v>42628</v>
      </c>
      <c r="C160" s="540">
        <v>2100</v>
      </c>
      <c r="D160" s="587">
        <v>17.1065</v>
      </c>
      <c r="E160" s="541">
        <v>17.45</v>
      </c>
      <c r="F160" s="541">
        <f t="shared" si="9"/>
        <v>721.34999999999752</v>
      </c>
      <c r="G160" s="541">
        <f t="shared" si="10"/>
        <v>35923.65</v>
      </c>
      <c r="H160" s="588">
        <f t="shared" si="11"/>
        <v>2.008008651682102E-2</v>
      </c>
      <c r="I160" s="541"/>
      <c r="J160" s="541"/>
    </row>
    <row r="161" spans="2:10" x14ac:dyDescent="0.25">
      <c r="B161" s="536">
        <v>42629</v>
      </c>
      <c r="C161" s="540">
        <v>2100</v>
      </c>
      <c r="D161" s="587">
        <v>17.1065</v>
      </c>
      <c r="E161" s="541">
        <v>17.48</v>
      </c>
      <c r="F161" s="541">
        <f t="shared" si="9"/>
        <v>784.34999999999991</v>
      </c>
      <c r="G161" s="541">
        <f t="shared" si="10"/>
        <v>35923.65</v>
      </c>
      <c r="H161" s="588">
        <f t="shared" si="11"/>
        <v>2.1833805863268343E-2</v>
      </c>
      <c r="I161" s="541"/>
      <c r="J161" s="541"/>
    </row>
    <row r="162" spans="2:10" x14ac:dyDescent="0.25">
      <c r="B162" s="536">
        <v>42632</v>
      </c>
      <c r="C162" s="540">
        <v>2100</v>
      </c>
      <c r="D162" s="587">
        <v>17.106529999999999</v>
      </c>
      <c r="E162" s="541">
        <v>16.95</v>
      </c>
      <c r="F162" s="541">
        <f t="shared" si="9"/>
        <v>-328.71300000000014</v>
      </c>
      <c r="G162" s="541">
        <f t="shared" si="10"/>
        <v>35923.712999999996</v>
      </c>
      <c r="H162" s="588">
        <f t="shared" si="11"/>
        <v>-9.150306929576019E-3</v>
      </c>
      <c r="I162" s="541"/>
      <c r="J162" s="541"/>
    </row>
    <row r="163" spans="2:10" x14ac:dyDescent="0.25">
      <c r="B163" s="536">
        <v>42634</v>
      </c>
      <c r="C163" s="540">
        <v>1600</v>
      </c>
      <c r="D163" s="587">
        <v>16.943059999999999</v>
      </c>
      <c r="E163" s="541">
        <v>17.66</v>
      </c>
      <c r="F163" s="541">
        <f t="shared" si="9"/>
        <v>1147.1040000000016</v>
      </c>
      <c r="G163" s="541">
        <f t="shared" si="10"/>
        <v>27108.895999999997</v>
      </c>
      <c r="H163" s="588">
        <f t="shared" si="11"/>
        <v>4.2314670431433346E-2</v>
      </c>
      <c r="I163" s="541"/>
      <c r="J163" s="541"/>
    </row>
    <row r="164" spans="2:10" x14ac:dyDescent="0.25">
      <c r="B164" s="536">
        <v>42635</v>
      </c>
      <c r="C164" s="540">
        <v>1600</v>
      </c>
      <c r="D164" s="587">
        <v>16.943059999999999</v>
      </c>
      <c r="E164" s="541">
        <v>17.59</v>
      </c>
      <c r="F164" s="541">
        <f t="shared" si="9"/>
        <v>1035.1040000000012</v>
      </c>
      <c r="G164" s="541">
        <f t="shared" si="10"/>
        <v>27108.895999999997</v>
      </c>
      <c r="H164" s="588">
        <f t="shared" si="11"/>
        <v>3.8183185327797978E-2</v>
      </c>
      <c r="I164" s="541"/>
      <c r="J164" s="541"/>
    </row>
    <row r="165" spans="2:10" x14ac:dyDescent="0.25">
      <c r="B165" s="536">
        <v>42640</v>
      </c>
      <c r="C165" s="540">
        <v>1600</v>
      </c>
      <c r="D165" s="587">
        <v>16.943059999999999</v>
      </c>
      <c r="E165" s="541">
        <v>18</v>
      </c>
      <c r="F165" s="541">
        <f t="shared" si="9"/>
        <v>1691.1040000000014</v>
      </c>
      <c r="G165" s="541">
        <f t="shared" si="10"/>
        <v>27108.895999999997</v>
      </c>
      <c r="H165" s="588">
        <f t="shared" si="11"/>
        <v>6.2381883791947909E-2</v>
      </c>
      <c r="I165" s="541"/>
      <c r="J165" s="541"/>
    </row>
    <row r="166" spans="2:10" x14ac:dyDescent="0.25">
      <c r="B166" s="536">
        <v>42641</v>
      </c>
      <c r="C166" s="540">
        <v>1800</v>
      </c>
      <c r="D166" s="587">
        <v>16.979289999999999</v>
      </c>
      <c r="E166" s="541">
        <v>17.440000000000001</v>
      </c>
      <c r="F166" s="541">
        <f t="shared" si="9"/>
        <v>829.27800000000434</v>
      </c>
      <c r="G166" s="541">
        <f t="shared" si="10"/>
        <v>30562.721999999998</v>
      </c>
      <c r="H166" s="588">
        <f t="shared" si="11"/>
        <v>2.71336433973389E-2</v>
      </c>
      <c r="I166" s="541"/>
      <c r="J166" s="541"/>
    </row>
    <row r="167" spans="2:10" x14ac:dyDescent="0.25">
      <c r="B167" s="536">
        <v>42643</v>
      </c>
      <c r="C167" s="540">
        <v>1800</v>
      </c>
      <c r="D167" s="587">
        <v>16.979289999999999</v>
      </c>
      <c r="E167" s="541">
        <v>17.78</v>
      </c>
      <c r="F167" s="541">
        <f t="shared" si="9"/>
        <v>1441.2780000000041</v>
      </c>
      <c r="G167" s="541">
        <f t="shared" si="10"/>
        <v>30562.721999999998</v>
      </c>
      <c r="H167" s="588">
        <f t="shared" si="11"/>
        <v>4.7158037821369583E-2</v>
      </c>
      <c r="I167" s="541"/>
      <c r="J167" s="541"/>
    </row>
    <row r="168" spans="2:10" x14ac:dyDescent="0.25">
      <c r="B168" s="536">
        <v>42647</v>
      </c>
      <c r="C168" s="540">
        <v>2000</v>
      </c>
      <c r="D168" s="587">
        <v>16.989360000000001</v>
      </c>
      <c r="E168" s="541">
        <v>17.8</v>
      </c>
      <c r="F168" s="541">
        <f t="shared" si="9"/>
        <v>1621.2799999999988</v>
      </c>
      <c r="G168" s="541">
        <f t="shared" si="10"/>
        <v>33978.720000000001</v>
      </c>
      <c r="H168" s="588">
        <f t="shared" si="11"/>
        <v>4.7714569589437116E-2</v>
      </c>
      <c r="I168" s="592" t="s">
        <v>294</v>
      </c>
      <c r="J168" s="592" t="s">
        <v>292</v>
      </c>
    </row>
    <row r="169" spans="2:10" x14ac:dyDescent="0.25">
      <c r="B169" s="536">
        <v>42648</v>
      </c>
      <c r="C169" s="540">
        <v>2000</v>
      </c>
      <c r="D169" s="587">
        <v>16.989360000000001</v>
      </c>
      <c r="E169" s="541">
        <v>17.7</v>
      </c>
      <c r="F169" s="541">
        <f t="shared" si="9"/>
        <v>1421.2799999999959</v>
      </c>
      <c r="G169" s="541">
        <f t="shared" si="10"/>
        <v>33978.720000000001</v>
      </c>
      <c r="H169" s="588">
        <f t="shared" si="11"/>
        <v>4.1828532681631204E-2</v>
      </c>
      <c r="I169" s="541"/>
      <c r="J169" s="541"/>
    </row>
    <row r="170" spans="2:10" x14ac:dyDescent="0.25">
      <c r="B170" s="536">
        <v>42661</v>
      </c>
      <c r="C170" s="540">
        <v>2200</v>
      </c>
      <c r="D170" s="587">
        <v>16.96123</v>
      </c>
      <c r="E170" s="541">
        <v>17.41</v>
      </c>
      <c r="F170" s="541">
        <f t="shared" si="9"/>
        <v>987.2939999999993</v>
      </c>
      <c r="G170" s="541">
        <f t="shared" si="10"/>
        <v>37314.705999999998</v>
      </c>
      <c r="H170" s="588">
        <f t="shared" si="11"/>
        <v>2.6458576412205934E-2</v>
      </c>
      <c r="I170" s="541"/>
      <c r="J170" s="541"/>
    </row>
    <row r="171" spans="2:10" x14ac:dyDescent="0.25">
      <c r="B171" s="536">
        <v>42662</v>
      </c>
      <c r="C171" s="540">
        <v>2000</v>
      </c>
      <c r="D171" s="587">
        <v>16.933399999999999</v>
      </c>
      <c r="E171" s="541">
        <v>17.215</v>
      </c>
      <c r="F171" s="541">
        <f t="shared" si="9"/>
        <v>563.20000000000186</v>
      </c>
      <c r="G171" s="541">
        <f t="shared" si="10"/>
        <v>33866.799999999996</v>
      </c>
      <c r="H171" s="588">
        <f t="shared" si="11"/>
        <v>1.6629855787969397E-2</v>
      </c>
      <c r="I171" s="592">
        <v>16.8</v>
      </c>
      <c r="J171" s="541"/>
    </row>
    <row r="172" spans="2:10" x14ac:dyDescent="0.25">
      <c r="B172" s="536">
        <v>42664</v>
      </c>
      <c r="C172" s="540">
        <v>2000</v>
      </c>
      <c r="D172" s="587">
        <v>16.933399999999999</v>
      </c>
      <c r="E172" s="541">
        <v>16.940000000000001</v>
      </c>
      <c r="F172" s="541">
        <f t="shared" ref="F172:F177" si="12">-C172*(D172-E172)</f>
        <v>13.200000000004763</v>
      </c>
      <c r="G172" s="541">
        <f t="shared" ref="G172:G177" si="13">IF(C172=0, 0,D172*C172)</f>
        <v>33866.799999999996</v>
      </c>
      <c r="H172" s="588">
        <f t="shared" ref="H172:H177" si="14">IF(C172=0, D172, (E172-D172)/D172)</f>
        <v>3.8976224503067206E-4</v>
      </c>
      <c r="I172" s="541"/>
      <c r="J172" s="541"/>
    </row>
    <row r="173" spans="2:10" x14ac:dyDescent="0.25">
      <c r="B173" s="536">
        <v>42668</v>
      </c>
      <c r="C173" s="540">
        <v>1800</v>
      </c>
      <c r="D173" s="587">
        <v>16.864930000000001</v>
      </c>
      <c r="E173" s="541">
        <v>17.54</v>
      </c>
      <c r="F173" s="541">
        <f t="shared" si="12"/>
        <v>1215.1259999999966</v>
      </c>
      <c r="G173" s="541">
        <f t="shared" si="13"/>
        <v>30356.874000000003</v>
      </c>
      <c r="H173" s="588">
        <f t="shared" si="14"/>
        <v>4.0028034507110198E-2</v>
      </c>
      <c r="I173" s="541"/>
      <c r="J173" s="541"/>
    </row>
    <row r="174" spans="2:10" x14ac:dyDescent="0.25">
      <c r="B174" s="536">
        <v>42669</v>
      </c>
      <c r="C174" s="540">
        <v>1000</v>
      </c>
      <c r="D174" s="587">
        <v>16.149180000000001</v>
      </c>
      <c r="E174" s="541">
        <v>17.64</v>
      </c>
      <c r="F174" s="541">
        <f t="shared" si="12"/>
        <v>1490.8199999999993</v>
      </c>
      <c r="G174" s="541">
        <f t="shared" si="13"/>
        <v>16149.18</v>
      </c>
      <c r="H174" s="588">
        <f t="shared" si="14"/>
        <v>9.2315523141113007E-2</v>
      </c>
      <c r="I174" s="541"/>
      <c r="J174" s="541"/>
    </row>
    <row r="175" spans="2:10" x14ac:dyDescent="0.25">
      <c r="B175" s="536">
        <v>42670</v>
      </c>
      <c r="C175" s="540">
        <v>1800</v>
      </c>
      <c r="D175" s="587">
        <v>16.753990000000002</v>
      </c>
      <c r="E175" s="541">
        <v>17.53</v>
      </c>
      <c r="F175" s="541">
        <f t="shared" si="12"/>
        <v>1396.8179999999988</v>
      </c>
      <c r="G175" s="541">
        <f t="shared" si="13"/>
        <v>30157.182000000004</v>
      </c>
      <c r="H175" s="588">
        <f t="shared" si="14"/>
        <v>4.6317921880101358E-2</v>
      </c>
      <c r="I175" s="541"/>
      <c r="J175" s="541"/>
    </row>
    <row r="176" spans="2:10" x14ac:dyDescent="0.25">
      <c r="B176" s="536">
        <v>42670</v>
      </c>
      <c r="C176" s="540">
        <v>2000</v>
      </c>
      <c r="D176" s="587">
        <v>16.820589999999999</v>
      </c>
      <c r="E176" s="541">
        <v>17.53</v>
      </c>
      <c r="F176" s="541">
        <f t="shared" si="12"/>
        <v>1418.8200000000038</v>
      </c>
      <c r="G176" s="541">
        <f t="shared" si="13"/>
        <v>33641.18</v>
      </c>
      <c r="H176" s="588">
        <f t="shared" si="14"/>
        <v>4.2175096117318234E-2</v>
      </c>
      <c r="I176" s="592">
        <v>16.8</v>
      </c>
      <c r="J176" s="541"/>
    </row>
    <row r="177" spans="2:17" x14ac:dyDescent="0.25">
      <c r="B177" s="536">
        <v>42671</v>
      </c>
      <c r="C177" s="540">
        <v>2000</v>
      </c>
      <c r="D177" s="587">
        <v>16.752666999999999</v>
      </c>
      <c r="E177" s="541">
        <v>17.2</v>
      </c>
      <c r="F177" s="541">
        <f t="shared" si="12"/>
        <v>894.66600000000085</v>
      </c>
      <c r="G177" s="541">
        <f t="shared" si="13"/>
        <v>33505.333999999995</v>
      </c>
      <c r="H177" s="588">
        <f t="shared" si="14"/>
        <v>2.6702196133905155E-2</v>
      </c>
      <c r="I177" s="592" t="s">
        <v>304</v>
      </c>
      <c r="J177" s="541"/>
    </row>
    <row r="178" spans="2:17" x14ac:dyDescent="0.25">
      <c r="B178" s="536">
        <v>42672</v>
      </c>
      <c r="C178" s="540">
        <v>2000</v>
      </c>
      <c r="D178" s="587">
        <v>16.752666999999999</v>
      </c>
      <c r="E178" s="541">
        <v>17.16</v>
      </c>
      <c r="F178" s="541">
        <f>-C178*(D178-E178)</f>
        <v>814.66600000000255</v>
      </c>
      <c r="G178" s="541">
        <f>IF(C178=0, 0,D178*C178)</f>
        <v>33505.333999999995</v>
      </c>
      <c r="H178" s="588">
        <f>IF(C178=0, D178, (E178-D178)/D178)</f>
        <v>2.4314516608012402E-2</v>
      </c>
      <c r="I178" s="592" t="s">
        <v>304</v>
      </c>
      <c r="J178" s="541"/>
    </row>
    <row r="179" spans="2:17" x14ac:dyDescent="0.25">
      <c r="B179" s="536">
        <v>42675</v>
      </c>
      <c r="C179" s="540">
        <v>2000</v>
      </c>
      <c r="D179" s="587">
        <v>16.742699999999999</v>
      </c>
      <c r="E179" s="541">
        <v>17.2</v>
      </c>
      <c r="F179" s="541">
        <f>-C179*(D179-E179)</f>
        <v>914.60000000000014</v>
      </c>
      <c r="G179" s="541">
        <f>IF(C179=0, 0,D179*C179)</f>
        <v>33485.4</v>
      </c>
      <c r="H179" s="588">
        <f>IF(C179=0, D179, (E179-D179)/D179)</f>
        <v>2.731339628614262E-2</v>
      </c>
      <c r="I179" s="592" t="s">
        <v>304</v>
      </c>
      <c r="J179" s="541"/>
    </row>
    <row r="180" spans="2:17" x14ac:dyDescent="0.25">
      <c r="B180" s="536">
        <v>42676</v>
      </c>
      <c r="C180" s="540">
        <v>2000</v>
      </c>
      <c r="D180" s="587">
        <v>16.742699999999999</v>
      </c>
      <c r="E180" s="541">
        <v>16.675000000000001</v>
      </c>
      <c r="F180" s="541">
        <f t="shared" ref="F180:F191" si="15">-C180*(D180-E180)</f>
        <v>-135.39999999999708</v>
      </c>
      <c r="G180" s="541">
        <f t="shared" ref="G180:G191" si="16">IF(C180=0, 0,D180*C180)</f>
        <v>33485.4</v>
      </c>
      <c r="H180" s="588">
        <f t="shared" ref="H180:H191" si="17">IF(C180=0, D180, (E180-D180)/D180)</f>
        <v>-4.0435533098006019E-3</v>
      </c>
      <c r="I180" s="541"/>
      <c r="J180" s="541"/>
    </row>
    <row r="181" spans="2:17" x14ac:dyDescent="0.25">
      <c r="B181" s="536">
        <v>42678</v>
      </c>
      <c r="C181" s="540">
        <v>2000</v>
      </c>
      <c r="D181" s="587">
        <v>16.7227</v>
      </c>
      <c r="E181" s="541">
        <v>16.68</v>
      </c>
      <c r="F181" s="541">
        <f t="shared" si="15"/>
        <v>-85.39999999999992</v>
      </c>
      <c r="G181" s="541">
        <f t="shared" si="16"/>
        <v>33445.4</v>
      </c>
      <c r="H181" s="588">
        <f t="shared" si="17"/>
        <v>-2.5534154173668102E-3</v>
      </c>
      <c r="I181" s="592" t="s">
        <v>304</v>
      </c>
      <c r="J181" s="541"/>
    </row>
    <row r="182" spans="2:17" x14ac:dyDescent="0.25">
      <c r="B182" s="536">
        <v>42701</v>
      </c>
      <c r="C182" s="540">
        <v>1800</v>
      </c>
      <c r="D182" s="587">
        <v>16.627528999999999</v>
      </c>
      <c r="E182" s="541">
        <v>20.13</v>
      </c>
      <c r="F182" s="541">
        <f t="shared" si="15"/>
        <v>6304.4477999999999</v>
      </c>
      <c r="G182" s="541">
        <f t="shared" si="16"/>
        <v>29929.552199999998</v>
      </c>
      <c r="H182" s="588">
        <f t="shared" si="17"/>
        <v>0.21064290430646671</v>
      </c>
      <c r="I182" s="541"/>
      <c r="J182" s="541"/>
    </row>
    <row r="183" spans="2:17" x14ac:dyDescent="0.25">
      <c r="B183" s="536">
        <v>42702</v>
      </c>
      <c r="C183" s="540">
        <v>1650</v>
      </c>
      <c r="D183" s="587">
        <v>16.310980000000001</v>
      </c>
      <c r="E183" s="541">
        <v>20.059999999999999</v>
      </c>
      <c r="F183" s="541">
        <f t="shared" si="15"/>
        <v>6185.8829999999971</v>
      </c>
      <c r="G183" s="541">
        <f t="shared" si="16"/>
        <v>26913.117000000002</v>
      </c>
      <c r="H183" s="588">
        <f t="shared" si="17"/>
        <v>0.22984639794788528</v>
      </c>
      <c r="I183" s="541"/>
      <c r="J183" s="541"/>
    </row>
    <row r="184" spans="2:17" x14ac:dyDescent="0.25">
      <c r="B184" s="536">
        <v>42705</v>
      </c>
      <c r="C184" s="540">
        <v>1800</v>
      </c>
      <c r="D184" s="587">
        <v>16.541699999999999</v>
      </c>
      <c r="E184" s="541">
        <v>18.48</v>
      </c>
      <c r="F184" s="541">
        <f t="shared" si="15"/>
        <v>3488.9400000000032</v>
      </c>
      <c r="G184" s="541">
        <f t="shared" si="16"/>
        <v>29775.059999999998</v>
      </c>
      <c r="H184" s="588">
        <f t="shared" si="17"/>
        <v>0.11717659007236268</v>
      </c>
      <c r="I184" s="541"/>
      <c r="J184" s="541"/>
    </row>
    <row r="185" spans="2:17" x14ac:dyDescent="0.25">
      <c r="B185" s="536">
        <v>42705</v>
      </c>
      <c r="C185" s="540">
        <v>2000</v>
      </c>
      <c r="D185" s="587">
        <v>16.707599999999999</v>
      </c>
      <c r="E185" s="541">
        <v>18.48</v>
      </c>
      <c r="F185" s="541">
        <f t="shared" si="15"/>
        <v>3544.800000000002</v>
      </c>
      <c r="G185" s="541">
        <f t="shared" si="16"/>
        <v>33415.199999999997</v>
      </c>
      <c r="H185" s="588">
        <f t="shared" si="17"/>
        <v>0.10608345902463556</v>
      </c>
      <c r="I185" s="592">
        <v>16.48</v>
      </c>
      <c r="J185" s="541"/>
    </row>
    <row r="186" spans="2:17" x14ac:dyDescent="0.25">
      <c r="B186" s="536">
        <v>42706</v>
      </c>
      <c r="C186" s="540">
        <v>1800</v>
      </c>
      <c r="D186" s="587">
        <v>16.476199999999999</v>
      </c>
      <c r="E186" s="541">
        <v>18.79</v>
      </c>
      <c r="F186" s="541">
        <f t="shared" si="15"/>
        <v>4164.8400000000011</v>
      </c>
      <c r="G186" s="541">
        <f t="shared" si="16"/>
        <v>29657.159999999996</v>
      </c>
      <c r="H186" s="588">
        <f t="shared" si="17"/>
        <v>0.14043286680181113</v>
      </c>
      <c r="I186" s="541"/>
      <c r="J186" s="541"/>
    </row>
    <row r="187" spans="2:17" x14ac:dyDescent="0.25">
      <c r="B187" s="536">
        <v>42710</v>
      </c>
      <c r="C187" s="540">
        <v>1800</v>
      </c>
      <c r="D187" s="587">
        <v>16.450700000000001</v>
      </c>
      <c r="E187" s="541">
        <v>19.059999999999999</v>
      </c>
      <c r="F187" s="541">
        <f t="shared" si="15"/>
        <v>4696.7399999999952</v>
      </c>
      <c r="G187" s="541">
        <f t="shared" si="16"/>
        <v>29611.260000000002</v>
      </c>
      <c r="H187" s="588">
        <f t="shared" si="17"/>
        <v>0.1586133112876654</v>
      </c>
      <c r="I187" s="541"/>
      <c r="J187" s="541"/>
    </row>
    <row r="188" spans="2:17" x14ac:dyDescent="0.25">
      <c r="B188" s="536">
        <v>42711</v>
      </c>
      <c r="C188" s="540">
        <v>1000</v>
      </c>
      <c r="D188" s="587">
        <v>13.444599999999999</v>
      </c>
      <c r="E188" s="541">
        <v>20.440000000000001</v>
      </c>
      <c r="F188" s="541">
        <f t="shared" si="15"/>
        <v>6995.4000000000015</v>
      </c>
      <c r="G188" s="541">
        <f t="shared" si="16"/>
        <v>13444.599999999999</v>
      </c>
      <c r="H188" s="588">
        <f t="shared" si="17"/>
        <v>0.52031298811418725</v>
      </c>
      <c r="I188" s="541"/>
      <c r="J188" s="541"/>
    </row>
    <row r="189" spans="2:17" x14ac:dyDescent="0.25">
      <c r="B189" s="536">
        <v>42716</v>
      </c>
      <c r="C189" s="540">
        <v>1800</v>
      </c>
      <c r="D189" s="587">
        <v>16.229800000000001</v>
      </c>
      <c r="E189" s="541">
        <v>20.02</v>
      </c>
      <c r="F189" s="541">
        <f t="shared" si="15"/>
        <v>6822.3599999999979</v>
      </c>
      <c r="G189" s="541">
        <f t="shared" si="16"/>
        <v>29213.640000000003</v>
      </c>
      <c r="H189" s="588">
        <f t="shared" si="17"/>
        <v>0.2335333768746379</v>
      </c>
      <c r="I189" s="541"/>
      <c r="J189" s="541"/>
    </row>
    <row r="190" spans="2:17" x14ac:dyDescent="0.25">
      <c r="B190" s="536">
        <v>42716</v>
      </c>
      <c r="C190" s="540">
        <v>1650</v>
      </c>
      <c r="D190" s="587">
        <v>15.888</v>
      </c>
      <c r="E190" s="541">
        <v>20.02</v>
      </c>
      <c r="F190" s="541">
        <f t="shared" si="15"/>
        <v>6817.7999999999993</v>
      </c>
      <c r="G190" s="541">
        <f t="shared" si="16"/>
        <v>26215.200000000001</v>
      </c>
      <c r="H190" s="588">
        <f t="shared" si="17"/>
        <v>0.26007049345417926</v>
      </c>
      <c r="I190" s="541"/>
      <c r="J190" s="541"/>
    </row>
    <row r="191" spans="2:17" x14ac:dyDescent="0.25">
      <c r="B191" s="536">
        <v>42717</v>
      </c>
      <c r="C191" s="540">
        <v>1550</v>
      </c>
      <c r="D191" s="587">
        <v>15.6</v>
      </c>
      <c r="E191" s="541">
        <v>20.13</v>
      </c>
      <c r="F191" s="541">
        <f t="shared" si="15"/>
        <v>7021.4999999999991</v>
      </c>
      <c r="G191" s="541">
        <f t="shared" si="16"/>
        <v>24180</v>
      </c>
      <c r="H191" s="588">
        <f t="shared" si="17"/>
        <v>0.29038461538461535</v>
      </c>
      <c r="I191" s="541"/>
      <c r="J191" s="541"/>
      <c r="Q191" s="4"/>
    </row>
    <row r="192" spans="2:17" x14ac:dyDescent="0.25">
      <c r="B192" s="536">
        <v>42726</v>
      </c>
      <c r="C192" s="540">
        <v>1550</v>
      </c>
      <c r="D192" s="587">
        <v>15.6</v>
      </c>
      <c r="E192" s="541">
        <v>23.2</v>
      </c>
      <c r="F192" s="541">
        <f>-C192*(D192-E192)</f>
        <v>11780</v>
      </c>
      <c r="G192" s="541">
        <f>IF(C192=0, 0,D192*C192)</f>
        <v>24180</v>
      </c>
      <c r="H192" s="588">
        <f>IF(C192=0, D192, (E192-D192)/D192)</f>
        <v>0.48717948717948717</v>
      </c>
      <c r="I192" s="541"/>
      <c r="J192" s="541"/>
      <c r="Q192" s="4"/>
    </row>
    <row r="193" spans="1:17" x14ac:dyDescent="0.25">
      <c r="B193" s="536">
        <v>42733</v>
      </c>
      <c r="C193" s="540">
        <v>1550</v>
      </c>
      <c r="D193" s="587">
        <v>15.6</v>
      </c>
      <c r="E193" s="541">
        <v>22.27</v>
      </c>
      <c r="F193" s="541">
        <f>-C193*(D193-E193)</f>
        <v>10338.5</v>
      </c>
      <c r="G193" s="541">
        <f>IF(C193=0, 0,D193*C193)</f>
        <v>24180</v>
      </c>
      <c r="H193" s="588">
        <f>IF(C193=0, D193, (E193-D193)/D193)</f>
        <v>0.42756410256410254</v>
      </c>
      <c r="I193" s="541"/>
      <c r="J193" s="541"/>
      <c r="Q193" s="4"/>
    </row>
    <row r="194" spans="1:17" x14ac:dyDescent="0.25">
      <c r="B194" s="536">
        <v>42738</v>
      </c>
      <c r="C194" s="540">
        <v>1550</v>
      </c>
      <c r="D194" s="587">
        <v>15.548634</v>
      </c>
      <c r="E194" s="541">
        <v>22.55</v>
      </c>
      <c r="F194" s="541">
        <f>-C194*(D194-E194)</f>
        <v>10852.117300000002</v>
      </c>
      <c r="G194" s="541">
        <f>IF(C194=0, 0,D194*C194)</f>
        <v>24100.382699999998</v>
      </c>
      <c r="H194" s="588">
        <f>IF(C194=0, D194, (E194-D194)/D194)</f>
        <v>0.4502881732247348</v>
      </c>
      <c r="I194" s="541"/>
      <c r="J194" s="541"/>
    </row>
    <row r="195" spans="1:17" x14ac:dyDescent="0.25">
      <c r="B195" s="536"/>
      <c r="C195" s="540"/>
      <c r="D195" s="587"/>
      <c r="E195" s="541"/>
      <c r="F195" s="541"/>
      <c r="G195" s="541"/>
      <c r="H195" s="588"/>
      <c r="I195" s="541"/>
      <c r="J195" s="541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8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8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513</v>
      </c>
      <c r="K200" s="224" t="s">
        <v>479</v>
      </c>
      <c r="L200" s="224" t="s">
        <v>708</v>
      </c>
      <c r="M200" s="4"/>
    </row>
    <row r="201" spans="1:17" x14ac:dyDescent="0.25">
      <c r="A201" s="370" t="s">
        <v>354</v>
      </c>
      <c r="B201" s="369">
        <v>42754</v>
      </c>
      <c r="C201" s="370">
        <v>1550</v>
      </c>
      <c r="D201" s="375">
        <v>20.207419000000002</v>
      </c>
      <c r="E201" s="371">
        <v>21.71</v>
      </c>
      <c r="F201" s="371">
        <f t="shared" ref="F201:F243" si="18">-C201*(D201-E201)</f>
        <v>2329.0005499999988</v>
      </c>
      <c r="G201" s="371">
        <f>IF(C201=0, 0,D201*C201)</f>
        <v>31321.499450000003</v>
      </c>
      <c r="H201" s="373">
        <f t="shared" ref="H201:H243" si="19">IF(C201=0, D201, (E201-D201)/D201)</f>
        <v>7.4357888060815641E-2</v>
      </c>
      <c r="I201" s="371"/>
      <c r="J201" s="371"/>
      <c r="K201" s="371"/>
      <c r="L201" s="371"/>
      <c r="M201" s="4"/>
    </row>
    <row r="202" spans="1:17" x14ac:dyDescent="0.25">
      <c r="A202" s="370" t="s">
        <v>361</v>
      </c>
      <c r="B202" s="369">
        <v>42759</v>
      </c>
      <c r="C202" s="370">
        <v>1350</v>
      </c>
      <c r="D202" s="375">
        <v>19.798221999999999</v>
      </c>
      <c r="E202" s="371">
        <v>22.995000000000001</v>
      </c>
      <c r="F202" s="371">
        <f t="shared" si="18"/>
        <v>4315.650300000003</v>
      </c>
      <c r="G202" s="371">
        <f t="shared" ref="G202:G243" si="20">IF(C202=0, 0,D202*C202)</f>
        <v>26727.599699999999</v>
      </c>
      <c r="H202" s="373">
        <f t="shared" si="19"/>
        <v>0.16146793383769523</v>
      </c>
      <c r="I202" s="371"/>
      <c r="J202" s="371"/>
      <c r="K202" s="371"/>
      <c r="L202" s="371"/>
      <c r="M202" s="4"/>
    </row>
    <row r="203" spans="1:17" x14ac:dyDescent="0.25">
      <c r="A203" s="370" t="s">
        <v>362</v>
      </c>
      <c r="B203" s="369">
        <v>42759</v>
      </c>
      <c r="C203" s="370">
        <v>1550</v>
      </c>
      <c r="D203" s="375">
        <v>20.192</v>
      </c>
      <c r="E203" s="371">
        <v>22.86</v>
      </c>
      <c r="F203" s="371">
        <f t="shared" si="18"/>
        <v>4135.3999999999987</v>
      </c>
      <c r="G203" s="371">
        <f t="shared" si="20"/>
        <v>31297.599999999999</v>
      </c>
      <c r="H203" s="373">
        <f t="shared" si="19"/>
        <v>0.13213153724247223</v>
      </c>
      <c r="I203" s="371"/>
      <c r="J203" s="371"/>
      <c r="K203" s="371"/>
      <c r="L203" s="371"/>
      <c r="M203" s="4"/>
    </row>
    <row r="204" spans="1:17" x14ac:dyDescent="0.25">
      <c r="A204" s="370"/>
      <c r="B204" s="369">
        <v>42760</v>
      </c>
      <c r="C204" s="370">
        <v>950</v>
      </c>
      <c r="D204" s="375">
        <v>17.926220000000001</v>
      </c>
      <c r="E204" s="371">
        <v>23.78</v>
      </c>
      <c r="F204" s="371">
        <f t="shared" si="18"/>
        <v>5561.0910000000003</v>
      </c>
      <c r="G204" s="371">
        <f t="shared" si="20"/>
        <v>17029.909</v>
      </c>
      <c r="H204" s="373">
        <f t="shared" si="19"/>
        <v>0.32654848596078817</v>
      </c>
      <c r="I204" s="371"/>
      <c r="J204" s="371"/>
      <c r="K204" s="371"/>
      <c r="L204" s="371"/>
      <c r="M204" s="4"/>
    </row>
    <row r="205" spans="1:17" x14ac:dyDescent="0.25">
      <c r="A205" s="370" t="s">
        <v>363</v>
      </c>
      <c r="B205" s="369">
        <v>42760</v>
      </c>
      <c r="C205" s="370">
        <v>1550</v>
      </c>
      <c r="D205" s="375">
        <v>20.03736</v>
      </c>
      <c r="E205" s="371">
        <v>23.38</v>
      </c>
      <c r="F205" s="371">
        <f t="shared" si="18"/>
        <v>5181.0919999999987</v>
      </c>
      <c r="G205" s="371">
        <f t="shared" si="20"/>
        <v>31057.907999999999</v>
      </c>
      <c r="H205" s="373">
        <f t="shared" si="19"/>
        <v>0.16682037953103598</v>
      </c>
      <c r="I205" s="371">
        <v>20</v>
      </c>
      <c r="J205" s="371"/>
      <c r="K205" s="371"/>
      <c r="L205" s="371"/>
      <c r="M205" s="4"/>
    </row>
    <row r="206" spans="1:17" x14ac:dyDescent="0.25">
      <c r="A206" s="510" t="s">
        <v>385</v>
      </c>
      <c r="B206" s="509">
        <v>42765</v>
      </c>
      <c r="C206" s="510">
        <v>1350</v>
      </c>
      <c r="D206" s="511">
        <v>23.093333000000001</v>
      </c>
      <c r="E206" s="512">
        <v>24.18</v>
      </c>
      <c r="F206" s="512">
        <f t="shared" si="18"/>
        <v>1467.000449999998</v>
      </c>
      <c r="G206" s="512">
        <f t="shared" si="20"/>
        <v>31175.99955</v>
      </c>
      <c r="H206" s="513">
        <f t="shared" si="19"/>
        <v>4.7055442365118903E-2</v>
      </c>
      <c r="I206" s="512"/>
      <c r="J206" s="512"/>
      <c r="K206" s="512"/>
      <c r="L206" s="512"/>
      <c r="M206" s="4"/>
    </row>
    <row r="207" spans="1:17" x14ac:dyDescent="0.25">
      <c r="A207" s="510" t="s">
        <v>401</v>
      </c>
      <c r="B207" s="509">
        <v>42769</v>
      </c>
      <c r="C207" s="510">
        <v>1350</v>
      </c>
      <c r="D207" s="511">
        <v>23.059799999999999</v>
      </c>
      <c r="E207" s="512">
        <v>24.6</v>
      </c>
      <c r="F207" s="512">
        <f t="shared" si="18"/>
        <v>2079.2700000000032</v>
      </c>
      <c r="G207" s="512">
        <f t="shared" si="20"/>
        <v>31130.73</v>
      </c>
      <c r="H207" s="513">
        <f t="shared" si="19"/>
        <v>6.679155933702817E-2</v>
      </c>
      <c r="I207" s="512"/>
      <c r="J207" s="512"/>
      <c r="K207" s="512"/>
      <c r="L207" s="512"/>
      <c r="M207" s="4"/>
    </row>
    <row r="208" spans="1:17" x14ac:dyDescent="0.25">
      <c r="A208" s="510" t="s">
        <v>426</v>
      </c>
      <c r="B208" s="509">
        <v>42776</v>
      </c>
      <c r="C208" s="510">
        <v>1550</v>
      </c>
      <c r="D208" s="511">
        <v>23.174665000000001</v>
      </c>
      <c r="E208" s="512">
        <v>24.05</v>
      </c>
      <c r="F208" s="512">
        <f t="shared" si="18"/>
        <v>1356.7692499999996</v>
      </c>
      <c r="G208" s="512">
        <f t="shared" si="20"/>
        <v>35920.730750000002</v>
      </c>
      <c r="H208" s="513">
        <f t="shared" si="19"/>
        <v>3.7771204028191979E-2</v>
      </c>
      <c r="I208" s="512">
        <v>23</v>
      </c>
      <c r="J208" s="512"/>
      <c r="K208" s="512"/>
      <c r="L208" s="512"/>
      <c r="M208" s="4"/>
    </row>
    <row r="209" spans="1:13" x14ac:dyDescent="0.25">
      <c r="A209" s="510" t="s">
        <v>431</v>
      </c>
      <c r="B209" s="509">
        <v>42780</v>
      </c>
      <c r="C209" s="510">
        <v>1650</v>
      </c>
      <c r="D209" s="511">
        <v>23.174665000000001</v>
      </c>
      <c r="E209" s="512">
        <v>23.12</v>
      </c>
      <c r="F209" s="512">
        <f t="shared" si="18"/>
        <v>-90.19724999999994</v>
      </c>
      <c r="G209" s="512">
        <f t="shared" si="20"/>
        <v>38238.197250000005</v>
      </c>
      <c r="H209" s="513">
        <f t="shared" si="19"/>
        <v>-2.3588258988856995E-3</v>
      </c>
      <c r="I209" s="512"/>
      <c r="J209" s="512"/>
      <c r="K209" s="512"/>
      <c r="L209" s="512"/>
      <c r="M209" s="3"/>
    </row>
    <row r="210" spans="1:13" x14ac:dyDescent="0.25">
      <c r="A210" s="510" t="s">
        <v>444</v>
      </c>
      <c r="B210" s="509">
        <v>42782</v>
      </c>
      <c r="C210" s="510">
        <v>1550</v>
      </c>
      <c r="D210" s="511">
        <v>23.148890000000002</v>
      </c>
      <c r="E210" s="512">
        <v>22.98</v>
      </c>
      <c r="F210" s="512">
        <f t="shared" si="18"/>
        <v>-261.77950000000169</v>
      </c>
      <c r="G210" s="512">
        <f t="shared" si="20"/>
        <v>35880.779500000004</v>
      </c>
      <c r="H210" s="513">
        <f t="shared" si="19"/>
        <v>-7.2958141837470864E-3</v>
      </c>
      <c r="I210" s="512">
        <v>23</v>
      </c>
      <c r="J210" s="512"/>
      <c r="K210" s="512"/>
      <c r="L210" s="512"/>
      <c r="M210" s="4"/>
    </row>
    <row r="211" spans="1:13" x14ac:dyDescent="0.25">
      <c r="A211" s="648" t="s">
        <v>444</v>
      </c>
      <c r="B211" s="649">
        <v>42788</v>
      </c>
      <c r="C211" s="648">
        <v>1550</v>
      </c>
      <c r="D211" s="658">
        <v>23.390999999999998</v>
      </c>
      <c r="E211" s="650">
        <v>23.75</v>
      </c>
      <c r="F211" s="650">
        <f t="shared" si="18"/>
        <v>556.45000000000277</v>
      </c>
      <c r="G211" s="650">
        <f t="shared" si="20"/>
        <v>36256.049999999996</v>
      </c>
      <c r="H211" s="659">
        <f t="shared" si="19"/>
        <v>1.5347783335470985E-2</v>
      </c>
      <c r="I211" s="650">
        <v>23</v>
      </c>
      <c r="J211" s="650"/>
      <c r="K211" s="650"/>
      <c r="L211" s="650"/>
      <c r="M211" s="4"/>
    </row>
    <row r="212" spans="1:13" x14ac:dyDescent="0.25">
      <c r="A212" s="648" t="s">
        <v>463</v>
      </c>
      <c r="B212" s="649">
        <v>42790</v>
      </c>
      <c r="C212" s="648">
        <v>1550</v>
      </c>
      <c r="D212" s="658">
        <v>23.390999999999998</v>
      </c>
      <c r="E212" s="650">
        <v>23.24</v>
      </c>
      <c r="F212" s="650">
        <f t="shared" si="18"/>
        <v>-234.0499999999997</v>
      </c>
      <c r="G212" s="650">
        <f t="shared" si="20"/>
        <v>36256.049999999996</v>
      </c>
      <c r="H212" s="659">
        <f t="shared" si="19"/>
        <v>-6.4554743277328809E-3</v>
      </c>
      <c r="I212" s="650"/>
      <c r="J212" s="650"/>
      <c r="K212" s="650"/>
      <c r="L212" s="650"/>
      <c r="M212" s="4"/>
    </row>
    <row r="213" spans="1:13" x14ac:dyDescent="0.25">
      <c r="A213" s="648"/>
      <c r="B213" s="649">
        <v>42793</v>
      </c>
      <c r="C213" s="648">
        <v>1550</v>
      </c>
      <c r="D213" s="658">
        <v>23.390999999999998</v>
      </c>
      <c r="E213" s="650">
        <v>23.76</v>
      </c>
      <c r="F213" s="650">
        <f t="shared" si="18"/>
        <v>571.95000000000516</v>
      </c>
      <c r="G213" s="650">
        <f t="shared" si="20"/>
        <v>36256.049999999996</v>
      </c>
      <c r="H213" s="659">
        <f t="shared" si="19"/>
        <v>1.5775298191612303E-2</v>
      </c>
      <c r="I213" s="650"/>
      <c r="J213" s="650"/>
      <c r="K213" s="650"/>
      <c r="L213" s="650"/>
      <c r="M213" s="4"/>
    </row>
    <row r="214" spans="1:13" x14ac:dyDescent="0.25">
      <c r="A214" s="648">
        <v>600</v>
      </c>
      <c r="B214" s="649">
        <v>42795</v>
      </c>
      <c r="C214" s="648">
        <v>1200</v>
      </c>
      <c r="D214" s="658">
        <v>23.166550000000001</v>
      </c>
      <c r="E214" s="650">
        <v>24.55</v>
      </c>
      <c r="F214" s="650">
        <f t="shared" si="18"/>
        <v>1660.1399999999999</v>
      </c>
      <c r="G214" s="650">
        <f t="shared" si="20"/>
        <v>27799.86</v>
      </c>
      <c r="H214" s="659">
        <f t="shared" si="19"/>
        <v>5.9717566922998885E-2</v>
      </c>
      <c r="I214" s="650">
        <v>23</v>
      </c>
      <c r="J214" s="650"/>
      <c r="K214" s="650">
        <v>14210</v>
      </c>
      <c r="L214" s="650">
        <f>(G214-K214)/C214</f>
        <v>11.324883333333334</v>
      </c>
    </row>
    <row r="215" spans="1:13" x14ac:dyDescent="0.25">
      <c r="A215" s="648">
        <v>200</v>
      </c>
      <c r="B215" s="649">
        <v>42796</v>
      </c>
      <c r="C215" s="648">
        <v>1200</v>
      </c>
      <c r="D215" s="658">
        <v>22.916799999999999</v>
      </c>
      <c r="E215" s="650">
        <v>24.7</v>
      </c>
      <c r="F215" s="650">
        <f t="shared" si="18"/>
        <v>2139.8400000000011</v>
      </c>
      <c r="G215" s="650">
        <f t="shared" si="20"/>
        <v>27500.16</v>
      </c>
      <c r="H215" s="659">
        <f t="shared" si="19"/>
        <v>7.7811910912518364E-2</v>
      </c>
      <c r="I215" s="650">
        <v>22.5</v>
      </c>
      <c r="J215" s="650"/>
      <c r="K215" s="650">
        <v>14690</v>
      </c>
      <c r="L215" s="650">
        <f t="shared" ref="L215:L230" si="21">(G215-K215)/C215</f>
        <v>10.675133333333333</v>
      </c>
    </row>
    <row r="216" spans="1:13" x14ac:dyDescent="0.25">
      <c r="A216" s="648">
        <v>100</v>
      </c>
      <c r="B216" s="649">
        <v>42798</v>
      </c>
      <c r="C216" s="648">
        <v>1000</v>
      </c>
      <c r="D216" s="658">
        <v>22.424299999999999</v>
      </c>
      <c r="E216" s="650">
        <v>25.57</v>
      </c>
      <c r="F216" s="650">
        <f t="shared" si="18"/>
        <v>3145.7000000000016</v>
      </c>
      <c r="G216" s="650">
        <f t="shared" si="20"/>
        <v>22424.3</v>
      </c>
      <c r="H216" s="659">
        <f t="shared" si="19"/>
        <v>0.14028085603563997</v>
      </c>
      <c r="I216" s="650"/>
      <c r="J216" s="650"/>
      <c r="K216" s="650">
        <v>15696</v>
      </c>
      <c r="L216" s="650">
        <f t="shared" si="21"/>
        <v>6.7282999999999991</v>
      </c>
    </row>
    <row r="217" spans="1:13" x14ac:dyDescent="0.25">
      <c r="A217" s="648">
        <v>100</v>
      </c>
      <c r="B217" s="649">
        <v>42803</v>
      </c>
      <c r="C217" s="648">
        <v>1100</v>
      </c>
      <c r="D217" s="658">
        <v>22.663</v>
      </c>
      <c r="E217" s="650">
        <v>25.15</v>
      </c>
      <c r="F217" s="650">
        <f t="shared" si="18"/>
        <v>2735.699999999998</v>
      </c>
      <c r="G217" s="650">
        <f t="shared" si="20"/>
        <v>24929.3</v>
      </c>
      <c r="H217" s="659">
        <f t="shared" si="19"/>
        <v>0.1097383400255923</v>
      </c>
      <c r="I217" s="650"/>
      <c r="J217" s="650"/>
      <c r="K217" s="650">
        <v>15286</v>
      </c>
      <c r="L217" s="650">
        <f t="shared" si="21"/>
        <v>8.7666363636363638</v>
      </c>
    </row>
    <row r="218" spans="1:13" x14ac:dyDescent="0.25">
      <c r="A218" s="648">
        <v>0</v>
      </c>
      <c r="B218" s="649">
        <v>42804</v>
      </c>
      <c r="C218" s="648">
        <v>1000</v>
      </c>
      <c r="D218" s="658">
        <v>22.371400000000001</v>
      </c>
      <c r="E218" s="650">
        <v>25.18</v>
      </c>
      <c r="F218" s="650">
        <f t="shared" si="18"/>
        <v>2808.5999999999985</v>
      </c>
      <c r="G218" s="650">
        <f t="shared" si="20"/>
        <v>22371.4</v>
      </c>
      <c r="H218" s="659">
        <f t="shared" si="19"/>
        <v>0.12554422164012974</v>
      </c>
      <c r="I218" s="650"/>
      <c r="J218" s="650"/>
      <c r="K218" s="650">
        <v>15359</v>
      </c>
      <c r="L218" s="650">
        <f t="shared" si="21"/>
        <v>7.0124000000000013</v>
      </c>
    </row>
    <row r="219" spans="1:13" x14ac:dyDescent="0.25">
      <c r="A219" s="648">
        <v>200</v>
      </c>
      <c r="B219" s="649">
        <v>42808</v>
      </c>
      <c r="C219" s="648">
        <v>1000</v>
      </c>
      <c r="D219" s="658">
        <v>22.371400000000001</v>
      </c>
      <c r="E219" s="650">
        <v>25.58</v>
      </c>
      <c r="F219" s="650">
        <f t="shared" si="18"/>
        <v>3208.5999999999972</v>
      </c>
      <c r="G219" s="650">
        <f t="shared" si="20"/>
        <v>22371.4</v>
      </c>
      <c r="H219" s="659">
        <f t="shared" si="19"/>
        <v>0.1434241933897743</v>
      </c>
      <c r="I219" s="650">
        <v>22</v>
      </c>
      <c r="J219" s="650"/>
      <c r="K219" s="650">
        <v>15759</v>
      </c>
      <c r="L219" s="650">
        <f t="shared" si="21"/>
        <v>6.6124000000000018</v>
      </c>
      <c r="M219" s="4"/>
    </row>
    <row r="220" spans="1:13" x14ac:dyDescent="0.25">
      <c r="A220" s="463">
        <v>0</v>
      </c>
      <c r="B220" s="462">
        <v>42809</v>
      </c>
      <c r="C220" s="463">
        <v>1000</v>
      </c>
      <c r="D220" s="638">
        <v>24.635000000000002</v>
      </c>
      <c r="E220" s="464">
        <v>26.12</v>
      </c>
      <c r="F220" s="464">
        <f t="shared" si="18"/>
        <v>1484.9999999999995</v>
      </c>
      <c r="G220" s="464">
        <f t="shared" si="20"/>
        <v>24635</v>
      </c>
      <c r="H220" s="661">
        <f t="shared" si="19"/>
        <v>6.0280089303835979E-2</v>
      </c>
      <c r="I220" s="464">
        <v>24</v>
      </c>
      <c r="J220" s="464">
        <v>68.36</v>
      </c>
      <c r="K220" s="464">
        <v>16373</v>
      </c>
      <c r="L220" s="464">
        <f t="shared" si="21"/>
        <v>8.2620000000000005</v>
      </c>
      <c r="M220" s="4"/>
    </row>
    <row r="221" spans="1:13" x14ac:dyDescent="0.25">
      <c r="A221" s="463">
        <v>0</v>
      </c>
      <c r="B221" s="462">
        <v>42817</v>
      </c>
      <c r="C221" s="463">
        <v>900</v>
      </c>
      <c r="D221" s="638">
        <v>24.152000000000001</v>
      </c>
      <c r="E221" s="464">
        <v>26.47</v>
      </c>
      <c r="F221" s="464">
        <f t="shared" si="18"/>
        <v>2086.199999999998</v>
      </c>
      <c r="G221" s="464">
        <f t="shared" si="20"/>
        <v>21736.799999999999</v>
      </c>
      <c r="H221" s="661">
        <f t="shared" si="19"/>
        <v>9.5975488572374867E-2</v>
      </c>
      <c r="I221" s="464"/>
      <c r="J221" s="464"/>
      <c r="K221" s="464">
        <v>16974</v>
      </c>
      <c r="L221" s="464">
        <f t="shared" si="21"/>
        <v>5.2919999999999989</v>
      </c>
      <c r="M221" s="4"/>
    </row>
    <row r="222" spans="1:13" x14ac:dyDescent="0.25">
      <c r="A222" s="463">
        <v>0</v>
      </c>
      <c r="B222" s="462">
        <v>42818</v>
      </c>
      <c r="C222" s="463">
        <v>1000</v>
      </c>
      <c r="D222" s="638">
        <v>24.585000000000001</v>
      </c>
      <c r="E222" s="464">
        <v>28.43</v>
      </c>
      <c r="F222" s="464">
        <f t="shared" si="18"/>
        <v>3844.9999999999991</v>
      </c>
      <c r="G222" s="464">
        <f t="shared" si="20"/>
        <v>24585</v>
      </c>
      <c r="H222" s="661">
        <f t="shared" si="19"/>
        <v>0.15639617653040466</v>
      </c>
      <c r="I222" s="464">
        <v>24</v>
      </c>
      <c r="J222" s="464"/>
      <c r="K222" s="464">
        <v>18733</v>
      </c>
      <c r="L222" s="464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330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0" t="s">
        <v>7</v>
      </c>
      <c r="J260" s="480" t="s">
        <v>95</v>
      </c>
      <c r="K260" s="480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1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1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1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1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1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1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1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1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8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1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8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1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1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1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1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1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1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1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1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1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1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1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1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1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1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1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1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1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1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1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1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1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1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1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1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1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1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1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1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1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1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1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1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1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1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1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1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1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1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1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1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1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1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1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1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1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3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1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3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1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3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3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3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3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1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1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1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1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1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1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1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1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1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1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1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1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1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3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3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3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1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1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1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1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1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3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3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3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3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3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3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1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1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1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1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1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1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1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1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4" t="s">
        <v>201</v>
      </c>
      <c r="B351" s="561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4"/>
      <c r="B352" s="561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4"/>
      <c r="B353" s="561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1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1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1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1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1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1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1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1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1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1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1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1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1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1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1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1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1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1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8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1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1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1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1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1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1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1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1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1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1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1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1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1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1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5" t="s">
        <v>257</v>
      </c>
    </row>
    <row r="386" spans="1:13" x14ac:dyDescent="0.25">
      <c r="A386" s="254"/>
      <c r="B386" s="561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5"/>
    </row>
    <row r="387" spans="1:13" x14ac:dyDescent="0.25">
      <c r="A387" s="254"/>
      <c r="B387" s="561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5"/>
    </row>
    <row r="388" spans="1:13" x14ac:dyDescent="0.25">
      <c r="A388" s="254"/>
      <c r="B388" s="561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5"/>
    </row>
    <row r="389" spans="1:13" x14ac:dyDescent="0.25">
      <c r="A389" s="254"/>
      <c r="B389" s="561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1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1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1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1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1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1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1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1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1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1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1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1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1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1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1"/>
      <c r="C404" s="254"/>
      <c r="D404" s="255"/>
      <c r="E404" s="255"/>
      <c r="F404" s="255">
        <f t="shared" si="29"/>
        <v>0</v>
      </c>
      <c r="G404" s="682" t="s">
        <v>316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1"/>
      <c r="C405" s="254"/>
      <c r="D405" s="255"/>
      <c r="E405" s="255"/>
      <c r="F405" s="255">
        <f t="shared" si="29"/>
        <v>0</v>
      </c>
      <c r="G405" s="682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1"/>
      <c r="C406" s="254"/>
      <c r="D406" s="255"/>
      <c r="E406" s="255"/>
      <c r="F406" s="255">
        <f t="shared" si="29"/>
        <v>0</v>
      </c>
      <c r="G406" s="682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1"/>
      <c r="C407" s="254"/>
      <c r="D407" s="255"/>
      <c r="E407" s="255"/>
      <c r="F407" s="255">
        <f t="shared" si="29"/>
        <v>0</v>
      </c>
      <c r="G407" s="682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1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1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1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1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1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1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1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1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1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1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1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1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7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7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7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7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1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7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7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7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7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7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7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7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7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7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1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7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7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1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7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7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7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7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7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7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7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7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7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7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7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7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7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7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7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7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7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7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7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7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7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8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8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1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49" t="s">
        <v>194</v>
      </c>
      <c r="B451" s="450"/>
      <c r="C451" s="451">
        <f>SumByColor($A$23,C261:C449)</f>
        <v>3800</v>
      </c>
      <c r="D451" s="451"/>
      <c r="E451" s="451"/>
      <c r="F451" s="452">
        <f>SumByColor($A$23,F261:F449)</f>
        <v>94879</v>
      </c>
      <c r="G451" s="451"/>
      <c r="H451" s="451">
        <f>SumByColor($A$23,H261:H449)</f>
        <v>3800</v>
      </c>
      <c r="I451" s="451"/>
      <c r="J451" s="451"/>
      <c r="K451" s="452">
        <f>SumByColor($A$23,K261:K449)</f>
        <v>103844</v>
      </c>
      <c r="L451" s="451"/>
      <c r="M451" s="45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1258" priority="137">
      <formula>F30&gt;0</formula>
    </cfRule>
    <cfRule type="expression" dxfId="1257" priority="138">
      <formula>F30&lt;0</formula>
    </cfRule>
  </conditionalFormatting>
  <conditionalFormatting sqref="H47:H58">
    <cfRule type="expression" dxfId="1256" priority="129">
      <formula>H47&gt;0</formula>
    </cfRule>
    <cfRule type="expression" dxfId="1255" priority="130">
      <formula>H47&lt;0</formula>
    </cfRule>
  </conditionalFormatting>
  <conditionalFormatting sqref="H59">
    <cfRule type="expression" dxfId="1254" priority="119">
      <formula>H59&gt;0</formula>
    </cfRule>
    <cfRule type="expression" dxfId="1253" priority="120">
      <formula>H59&lt;0</formula>
    </cfRule>
  </conditionalFormatting>
  <conditionalFormatting sqref="H60">
    <cfRule type="expression" dxfId="1252" priority="115">
      <formula>H60&gt;0</formula>
    </cfRule>
    <cfRule type="expression" dxfId="1251" priority="116">
      <formula>H60&lt;0</formula>
    </cfRule>
  </conditionalFormatting>
  <conditionalFormatting sqref="H61:H66">
    <cfRule type="expression" dxfId="1250" priority="111">
      <formula>H61&gt;0</formula>
    </cfRule>
    <cfRule type="expression" dxfId="1249" priority="112">
      <formula>H61&lt;0</formula>
    </cfRule>
  </conditionalFormatting>
  <conditionalFormatting sqref="Q8">
    <cfRule type="expression" dxfId="1248" priority="95">
      <formula>Q8&gt;0</formula>
    </cfRule>
    <cfRule type="expression" dxfId="1247" priority="96">
      <formula>Q8&lt;0</formula>
    </cfRule>
  </conditionalFormatting>
  <conditionalFormatting sqref="Q7">
    <cfRule type="expression" dxfId="1246" priority="97">
      <formula>Q7&gt;0</formula>
    </cfRule>
    <cfRule type="expression" dxfId="1245" priority="98">
      <formula>Q7&lt;0</formula>
    </cfRule>
  </conditionalFormatting>
  <conditionalFormatting sqref="F178 H178">
    <cfRule type="expression" dxfId="1244" priority="93">
      <formula>F178&gt;0</formula>
    </cfRule>
    <cfRule type="expression" dxfId="1243" priority="94">
      <formula>F178&lt;0</formula>
    </cfRule>
  </conditionalFormatting>
  <conditionalFormatting sqref="Q10">
    <cfRule type="expression" dxfId="1242" priority="87">
      <formula>Q10&gt;0</formula>
    </cfRule>
    <cfRule type="expression" dxfId="1241" priority="88">
      <formula>Q10&lt;0</formula>
    </cfRule>
  </conditionalFormatting>
  <conditionalFormatting sqref="Q9">
    <cfRule type="expression" dxfId="1240" priority="81">
      <formula>Q9&gt;0</formula>
    </cfRule>
    <cfRule type="expression" dxfId="1239" priority="82">
      <formula>Q9&lt;0</formula>
    </cfRule>
  </conditionalFormatting>
  <conditionalFormatting sqref="F201:F248">
    <cfRule type="expression" dxfId="1238" priority="41">
      <formula>F201&gt;0</formula>
    </cfRule>
    <cfRule type="expression" dxfId="1237" priority="42">
      <formula>F201&lt;0</formula>
    </cfRule>
  </conditionalFormatting>
  <conditionalFormatting sqref="H201:H248">
    <cfRule type="expression" dxfId="1236" priority="39">
      <formula>H201&gt;0</formula>
    </cfRule>
    <cfRule type="expression" dxfId="1235" priority="40">
      <formula>H201&lt;0</formula>
    </cfRule>
  </conditionalFormatting>
  <conditionalFormatting sqref="J208">
    <cfRule type="expression" dxfId="1234" priority="37">
      <formula>J208&gt;0</formula>
    </cfRule>
    <cfRule type="expression" dxfId="1233" priority="38">
      <formula>J208&lt;0</formula>
    </cfRule>
  </conditionalFormatting>
  <conditionalFormatting sqref="J214:J215">
    <cfRule type="expression" dxfId="1232" priority="35">
      <formula>J214&gt;0</formula>
    </cfRule>
    <cfRule type="expression" dxfId="1231" priority="36">
      <formula>J214&lt;0</formula>
    </cfRule>
  </conditionalFormatting>
  <conditionalFormatting sqref="J216">
    <cfRule type="expression" dxfId="1230" priority="33">
      <formula>J216&gt;0</formula>
    </cfRule>
    <cfRule type="expression" dxfId="1229" priority="34">
      <formula>J216&lt;0</formula>
    </cfRule>
  </conditionalFormatting>
  <conditionalFormatting sqref="J217:J219 J221:J224">
    <cfRule type="expression" dxfId="1228" priority="31">
      <formula>J217&gt;0</formula>
    </cfRule>
    <cfRule type="expression" dxfId="1227" priority="32">
      <formula>J217&lt;0</formula>
    </cfRule>
  </conditionalFormatting>
  <conditionalFormatting sqref="K208">
    <cfRule type="expression" dxfId="1226" priority="29">
      <formula>K208&gt;0</formula>
    </cfRule>
    <cfRule type="expression" dxfId="1225" priority="30">
      <formula>K208&lt;0</formula>
    </cfRule>
  </conditionalFormatting>
  <conditionalFormatting sqref="K214:K215">
    <cfRule type="expression" dxfId="1224" priority="27">
      <formula>K214&gt;0</formula>
    </cfRule>
    <cfRule type="expression" dxfId="1223" priority="28">
      <formula>K214&lt;0</formula>
    </cfRule>
  </conditionalFormatting>
  <conditionalFormatting sqref="K216">
    <cfRule type="expression" dxfId="1222" priority="25">
      <formula>K216&gt;0</formula>
    </cfRule>
    <cfRule type="expression" dxfId="1221" priority="26">
      <formula>K216&lt;0</formula>
    </cfRule>
  </conditionalFormatting>
  <conditionalFormatting sqref="K217:K224">
    <cfRule type="expression" dxfId="1220" priority="23">
      <formula>K217&gt;0</formula>
    </cfRule>
    <cfRule type="expression" dxfId="1219" priority="24">
      <formula>K217&lt;0</formula>
    </cfRule>
  </conditionalFormatting>
  <conditionalFormatting sqref="L208">
    <cfRule type="expression" dxfId="1218" priority="21">
      <formula>L208&gt;0</formula>
    </cfRule>
    <cfRule type="expression" dxfId="1217" priority="22">
      <formula>L208&lt;0</formula>
    </cfRule>
  </conditionalFormatting>
  <conditionalFormatting sqref="L214:L215">
    <cfRule type="expression" dxfId="1216" priority="19">
      <formula>L214&gt;0</formula>
    </cfRule>
    <cfRule type="expression" dxfId="1215" priority="20">
      <formula>L214&lt;0</formula>
    </cfRule>
  </conditionalFormatting>
  <conditionalFormatting sqref="L216">
    <cfRule type="expression" dxfId="1214" priority="17">
      <formula>L216&gt;0</formula>
    </cfRule>
    <cfRule type="expression" dxfId="1213" priority="18">
      <formula>L216&lt;0</formula>
    </cfRule>
  </conditionalFormatting>
  <conditionalFormatting sqref="L217:L224">
    <cfRule type="expression" dxfId="1212" priority="15">
      <formula>L217&gt;0</formula>
    </cfRule>
    <cfRule type="expression" dxfId="1211" priority="16">
      <formula>L217&lt;0</formula>
    </cfRule>
  </conditionalFormatting>
  <conditionalFormatting sqref="K225">
    <cfRule type="expression" dxfId="1210" priority="13">
      <formula>K225&gt;0</formula>
    </cfRule>
    <cfRule type="expression" dxfId="1209" priority="14">
      <formula>K225&lt;0</formula>
    </cfRule>
  </conditionalFormatting>
  <conditionalFormatting sqref="L225:L232">
    <cfRule type="expression" dxfId="1208" priority="11">
      <formula>L225&gt;0</formula>
    </cfRule>
    <cfRule type="expression" dxfId="1207" priority="12">
      <formula>L225&lt;0</formula>
    </cfRule>
  </conditionalFormatting>
  <conditionalFormatting sqref="K226">
    <cfRule type="expression" dxfId="1206" priority="9">
      <formula>K226&gt;0</formula>
    </cfRule>
    <cfRule type="expression" dxfId="1205" priority="10">
      <formula>K226&lt;0</formula>
    </cfRule>
  </conditionalFormatting>
  <conditionalFormatting sqref="K227">
    <cfRule type="expression" dxfId="1204" priority="7">
      <formula>K227&gt;0</formula>
    </cfRule>
    <cfRule type="expression" dxfId="1203" priority="8">
      <formula>K227&lt;0</formula>
    </cfRule>
  </conditionalFormatting>
  <conditionalFormatting sqref="K228:K248">
    <cfRule type="expression" dxfId="1202" priority="5">
      <formula>K228&gt;0</formula>
    </cfRule>
    <cfRule type="expression" dxfId="1201" priority="6">
      <formula>K228&lt;0</formula>
    </cfRule>
  </conditionalFormatting>
  <conditionalFormatting sqref="L233:L237">
    <cfRule type="expression" dxfId="1200" priority="3">
      <formula>L233&gt;0</formula>
    </cfRule>
    <cfRule type="expression" dxfId="1199" priority="4">
      <formula>L233&lt;0</formula>
    </cfRule>
  </conditionalFormatting>
  <conditionalFormatting sqref="L238:L243">
    <cfRule type="expression" dxfId="1198" priority="1">
      <formula>L238&gt;0</formula>
    </cfRule>
    <cfRule type="expression" dxfId="1197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59.59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59.59</v>
      </c>
      <c r="R4" s="503">
        <v>-9.4999999999999998E-3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6" t="s">
        <v>5</v>
      </c>
      <c r="E31" s="376" t="s">
        <v>90</v>
      </c>
      <c r="F31" s="376" t="s">
        <v>60</v>
      </c>
      <c r="G31" s="376" t="s">
        <v>3</v>
      </c>
      <c r="H31" s="405" t="s">
        <v>6</v>
      </c>
      <c r="I31" s="376" t="s">
        <v>7</v>
      </c>
      <c r="J31" s="376" t="s">
        <v>89</v>
      </c>
      <c r="K31" s="376" t="s">
        <v>61</v>
      </c>
      <c r="L31" s="376" t="s">
        <v>77</v>
      </c>
      <c r="M31" s="376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9" t="s">
        <v>172</v>
      </c>
      <c r="B32" s="369">
        <v>42376</v>
      </c>
      <c r="C32" s="370">
        <v>100</v>
      </c>
      <c r="D32" s="371">
        <v>36.659999999999997</v>
      </c>
      <c r="E32" s="371">
        <v>0</v>
      </c>
      <c r="F32" s="371">
        <f>C32*D32+E32</f>
        <v>3665.9999999999995</v>
      </c>
      <c r="G32" s="406">
        <v>42432</v>
      </c>
      <c r="H32" s="389">
        <v>100</v>
      </c>
      <c r="I32" s="390">
        <v>37.42</v>
      </c>
      <c r="J32" s="390">
        <v>0.08</v>
      </c>
      <c r="K32" s="391">
        <f>I32*H32-J32</f>
        <v>3741.92</v>
      </c>
      <c r="L32" s="369">
        <v>42444</v>
      </c>
      <c r="M32" s="390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0" t="s">
        <v>71</v>
      </c>
      <c r="B33" s="369"/>
      <c r="C33" s="370"/>
      <c r="D33" s="371"/>
      <c r="E33" s="371"/>
      <c r="F33" s="371"/>
      <c r="G33" s="369"/>
      <c r="H33" s="374"/>
      <c r="I33" s="370"/>
      <c r="J33" s="370"/>
      <c r="K33" s="391"/>
      <c r="L33" s="369"/>
      <c r="M33" s="370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0"/>
      <c r="B34" s="369"/>
      <c r="C34" s="370"/>
      <c r="D34" s="371"/>
      <c r="E34" s="371"/>
      <c r="F34" s="371"/>
      <c r="G34" s="369"/>
      <c r="H34" s="374"/>
      <c r="I34" s="370"/>
      <c r="J34" s="371"/>
      <c r="K34" s="390"/>
      <c r="L34" s="370"/>
      <c r="M34" s="370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0"/>
      <c r="B35" s="369"/>
      <c r="C35" s="370"/>
      <c r="D35" s="371"/>
      <c r="E35" s="371"/>
      <c r="F35" s="371"/>
      <c r="G35" s="369"/>
      <c r="H35" s="374"/>
      <c r="I35" s="370"/>
      <c r="J35" s="371"/>
      <c r="K35" s="390"/>
      <c r="L35" s="370"/>
      <c r="M35" s="370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0"/>
      <c r="B36" s="370"/>
      <c r="C36" s="370"/>
      <c r="D36" s="370"/>
      <c r="E36" s="370"/>
      <c r="F36" s="370"/>
      <c r="G36" s="370"/>
      <c r="H36" s="374"/>
      <c r="I36" s="370"/>
      <c r="J36" s="370"/>
      <c r="K36" s="370"/>
      <c r="L36" s="370"/>
      <c r="M36" s="370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0"/>
      <c r="B38" s="370"/>
      <c r="C38" s="370"/>
      <c r="D38" s="370"/>
      <c r="E38" s="370"/>
      <c r="F38" s="370"/>
      <c r="G38" s="370"/>
      <c r="H38" s="374"/>
      <c r="I38" s="370"/>
      <c r="J38" s="370"/>
      <c r="K38" s="370"/>
      <c r="L38" s="370"/>
      <c r="M38" s="370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309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11" t="s">
        <v>78</v>
      </c>
      <c r="P40" s="811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65.549000000000007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64.953100000000006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64.357200000000006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63.761300000000006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63.165400000000005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62.569500000000005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61.973600000000005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61.377700000000004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60.781800000000004</v>
      </c>
      <c r="Q49" s="2"/>
      <c r="T49" s="85" t="s">
        <v>103</v>
      </c>
      <c r="U49" s="87" t="s">
        <v>404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60.185900000000004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59.59</v>
      </c>
      <c r="Q51" s="2"/>
      <c r="T51" s="85" t="s">
        <v>104</v>
      </c>
      <c r="U51" s="86" t="s">
        <v>632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58.994100000000003</v>
      </c>
      <c r="Q52" s="2"/>
      <c r="T52" s="85" t="s">
        <v>105</v>
      </c>
      <c r="U52" s="86" t="s">
        <v>515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58.398200000000003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57.802300000000002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57.206400000000002</v>
      </c>
      <c r="T55" s="85" t="s">
        <v>107</v>
      </c>
      <c r="U55" s="86" t="s">
        <v>633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56.610500000000002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56.014600000000002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55.418700000000008</v>
      </c>
      <c r="T58" s="85" t="s">
        <v>108</v>
      </c>
      <c r="U58" s="86" t="s">
        <v>561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54.822800000000008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54.226900000000008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53.631000000000007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1196" priority="11">
      <formula>F27&gt;0</formula>
    </cfRule>
    <cfRule type="expression" dxfId="1195" priority="12">
      <formula>F27&lt;0</formula>
    </cfRule>
  </conditionalFormatting>
  <conditionalFormatting sqref="H27:H29">
    <cfRule type="expression" dxfId="1194" priority="9">
      <formula>H27&gt;0</formula>
    </cfRule>
    <cfRule type="expression" dxfId="1193" priority="10">
      <formula>H27&lt;0</formula>
    </cfRule>
  </conditionalFormatting>
  <conditionalFormatting sqref="F23:F26">
    <cfRule type="expression" dxfId="1192" priority="7">
      <formula>F23&gt;0</formula>
    </cfRule>
    <cfRule type="expression" dxfId="1191" priority="8">
      <formula>F23&lt;0</formula>
    </cfRule>
  </conditionalFormatting>
  <conditionalFormatting sqref="H23:H26">
    <cfRule type="expression" dxfId="1190" priority="5">
      <formula>H23&gt;0</formula>
    </cfRule>
    <cfRule type="expression" dxfId="1189" priority="6">
      <formula>H23&lt;0</formula>
    </cfRule>
  </conditionalFormatting>
  <conditionalFormatting sqref="Q8">
    <cfRule type="expression" dxfId="1188" priority="1">
      <formula>Q8&gt;0</formula>
    </cfRule>
    <cfRule type="expression" dxfId="1187" priority="2">
      <formula>Q8&lt;0</formula>
    </cfRule>
  </conditionalFormatting>
  <conditionalFormatting sqref="Q7">
    <cfRule type="expression" dxfId="1186" priority="3">
      <formula>Q7&gt;0</formula>
    </cfRule>
    <cfRule type="expression" dxfId="1185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2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49.29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49.29</v>
      </c>
      <c r="R4" s="503">
        <v>-1.24E-2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8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399">
        <v>42247</v>
      </c>
      <c r="H35" s="400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11" t="s">
        <v>78</v>
      </c>
      <c r="P40" s="811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54.219000000000001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53.726100000000002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53.233200000000004</v>
      </c>
      <c r="Q43" s="2"/>
      <c r="T43" s="95" t="s">
        <v>97</v>
      </c>
      <c r="U43" s="96">
        <v>36.28</v>
      </c>
      <c r="V43" s="401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52.740300000000005</v>
      </c>
      <c r="Q44" s="2"/>
      <c r="T44" s="85" t="s">
        <v>98</v>
      </c>
      <c r="U44" s="86">
        <v>36.43</v>
      </c>
      <c r="V44" s="402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52.247399999999999</v>
      </c>
      <c r="Q45" s="2"/>
      <c r="T45" s="85" t="s">
        <v>99</v>
      </c>
      <c r="U45" s="86" t="s">
        <v>634</v>
      </c>
      <c r="V45" s="402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51.7545</v>
      </c>
      <c r="Q46" s="2"/>
      <c r="T46" s="85" t="s">
        <v>100</v>
      </c>
      <c r="U46" s="86" t="s">
        <v>635</v>
      </c>
      <c r="V46" s="402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51.261600000000001</v>
      </c>
      <c r="Q47" s="2"/>
      <c r="T47" s="85" t="s">
        <v>101</v>
      </c>
      <c r="U47" s="86">
        <v>40.03</v>
      </c>
      <c r="V47" s="402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50.768700000000003</v>
      </c>
      <c r="Q48" s="2"/>
      <c r="T48" s="85" t="s">
        <v>102</v>
      </c>
      <c r="U48" s="86">
        <v>1.1121399999999999</v>
      </c>
      <c r="V48" s="402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50.275799999999997</v>
      </c>
      <c r="Q49" s="2"/>
      <c r="T49" s="85" t="s">
        <v>103</v>
      </c>
      <c r="U49" s="87" t="s">
        <v>436</v>
      </c>
      <c r="V49" s="403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49.782899999999998</v>
      </c>
      <c r="Q50" s="2"/>
      <c r="T50" s="85"/>
      <c r="U50" s="86"/>
      <c r="V50" s="402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49.29</v>
      </c>
      <c r="Q51" s="2"/>
      <c r="T51" s="85" t="s">
        <v>104</v>
      </c>
      <c r="U51" s="86" t="s">
        <v>636</v>
      </c>
      <c r="V51" s="402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48.7971</v>
      </c>
      <c r="Q52" s="2"/>
      <c r="T52" s="85" t="s">
        <v>105</v>
      </c>
      <c r="U52" s="86" t="s">
        <v>524</v>
      </c>
      <c r="V52" s="402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48.304200000000002</v>
      </c>
      <c r="Q53" s="2"/>
      <c r="T53" s="85" t="s">
        <v>106</v>
      </c>
      <c r="U53" s="88">
        <v>22455525</v>
      </c>
      <c r="V53" s="404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47.811299999999996</v>
      </c>
      <c r="T54" s="85" t="s">
        <v>109</v>
      </c>
      <c r="U54" s="88">
        <v>24240000</v>
      </c>
      <c r="V54" s="404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47.318399999999997</v>
      </c>
      <c r="T55" s="85" t="s">
        <v>107</v>
      </c>
      <c r="U55" s="86" t="s">
        <v>637</v>
      </c>
      <c r="V55" s="402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46.825499999999998</v>
      </c>
      <c r="T56" s="85" t="s">
        <v>110</v>
      </c>
      <c r="U56" s="86">
        <v>17.079999999999998</v>
      </c>
      <c r="V56" s="402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46.332599999999999</v>
      </c>
      <c r="T57" s="85" t="s">
        <v>111</v>
      </c>
      <c r="U57" s="86">
        <v>2.12</v>
      </c>
      <c r="V57" s="402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45.839700000000001</v>
      </c>
      <c r="T58" s="85" t="s">
        <v>108</v>
      </c>
      <c r="U58" s="86" t="s">
        <v>562</v>
      </c>
      <c r="V58" s="402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45.346800000000002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44.853900000000003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44.360999999999997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1184" priority="7">
      <formula>F21&gt;0</formula>
    </cfRule>
    <cfRule type="expression" dxfId="1183" priority="8">
      <formula>F21&lt;0</formula>
    </cfRule>
  </conditionalFormatting>
  <conditionalFormatting sqref="F22">
    <cfRule type="expression" dxfId="1182" priority="5">
      <formula>F22&gt;0</formula>
    </cfRule>
    <cfRule type="expression" dxfId="1181" priority="6">
      <formula>F22&lt;0</formula>
    </cfRule>
  </conditionalFormatting>
  <conditionalFormatting sqref="Q8">
    <cfRule type="expression" dxfId="1180" priority="1">
      <formula>Q8&gt;0</formula>
    </cfRule>
    <cfRule type="expression" dxfId="1179" priority="2">
      <formula>Q8&lt;0</formula>
    </cfRule>
  </conditionalFormatting>
  <conditionalFormatting sqref="Q7">
    <cfRule type="expression" dxfId="1178" priority="3">
      <formula>Q7&gt;0</formula>
    </cfRule>
    <cfRule type="expression" dxfId="1177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2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2"/>
      <c r="I3" s="73"/>
      <c r="J3" s="73"/>
      <c r="K3" s="73"/>
      <c r="L3" s="72"/>
      <c r="M3" s="3"/>
      <c r="O3" s="11" t="s">
        <v>58</v>
      </c>
      <c r="Q3" s="78">
        <f>IF(Q2=0, Q4, (F18-K18-M18)/Q2)</f>
        <v>45.42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45.42</v>
      </c>
      <c r="R4" s="486">
        <v>-2.2599999999999999E-2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11" t="s">
        <v>78</v>
      </c>
      <c r="P44" s="811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49.962000000000003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49.507800000000003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49.053600000000003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48.599400000000003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48.145200000000003</v>
      </c>
      <c r="Q49" s="2"/>
      <c r="R49" s="33"/>
      <c r="T49" s="106" t="s">
        <v>121</v>
      </c>
      <c r="U49" s="104" t="s">
        <v>383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47.691000000000003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47.236800000000002</v>
      </c>
      <c r="Q51" s="2"/>
      <c r="R51" s="33"/>
      <c r="T51" s="106" t="s">
        <v>104</v>
      </c>
      <c r="U51" s="104" t="s">
        <v>638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46.782600000000002</v>
      </c>
      <c r="Q52" s="2"/>
      <c r="R52" s="33"/>
      <c r="T52" s="106" t="s">
        <v>105</v>
      </c>
      <c r="U52" s="104" t="s">
        <v>540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46.328400000000002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45.874200000000002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45.42</v>
      </c>
      <c r="Q55" s="2"/>
      <c r="R55" s="33"/>
      <c r="T55" s="106" t="s">
        <v>107</v>
      </c>
      <c r="U55" s="104" t="s">
        <v>639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44.965800000000002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44.511600000000001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44.057400000000001</v>
      </c>
      <c r="Q58" s="2"/>
      <c r="R58" s="33"/>
      <c r="T58" s="106" t="s">
        <v>108</v>
      </c>
      <c r="U58" s="104" t="s">
        <v>563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43.603200000000001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43.149000000000001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42.694800000000001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42.240600000000001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41.7864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41.3322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40.878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3" t="s">
        <v>1</v>
      </c>
      <c r="B76" s="384" t="s">
        <v>2</v>
      </c>
      <c r="C76" s="383" t="s">
        <v>4</v>
      </c>
      <c r="D76" s="385" t="s">
        <v>5</v>
      </c>
      <c r="E76" s="386" t="s">
        <v>90</v>
      </c>
      <c r="F76" s="386" t="s">
        <v>60</v>
      </c>
      <c r="G76" s="383" t="s">
        <v>3</v>
      </c>
      <c r="H76" s="387" t="s">
        <v>6</v>
      </c>
      <c r="I76" s="386" t="s">
        <v>7</v>
      </c>
      <c r="J76" s="386" t="s">
        <v>89</v>
      </c>
      <c r="K76" s="386" t="s">
        <v>61</v>
      </c>
      <c r="L76" s="383" t="s">
        <v>43</v>
      </c>
      <c r="M76" s="383" t="s">
        <v>38</v>
      </c>
    </row>
    <row r="77" spans="1:31" x14ac:dyDescent="0.25">
      <c r="A77" s="379" t="s">
        <v>22</v>
      </c>
      <c r="B77" s="388">
        <v>42153</v>
      </c>
      <c r="C77" s="370">
        <v>20</v>
      </c>
      <c r="D77" s="375">
        <v>67.3</v>
      </c>
      <c r="E77" s="371">
        <v>0</v>
      </c>
      <c r="F77" s="371">
        <f t="shared" ref="F77:F126" si="6">D77*C77+E77</f>
        <v>1346</v>
      </c>
      <c r="G77" s="369">
        <v>42219</v>
      </c>
      <c r="H77" s="389">
        <v>25</v>
      </c>
      <c r="I77" s="390">
        <v>60.05</v>
      </c>
      <c r="J77" s="390">
        <v>0.03</v>
      </c>
      <c r="K77" s="390">
        <f t="shared" ref="K77:K112" si="7">H77*I77-J77</f>
        <v>1501.22</v>
      </c>
      <c r="L77" s="369">
        <v>42185</v>
      </c>
      <c r="M77" s="371">
        <v>5</v>
      </c>
    </row>
    <row r="78" spans="1:31" x14ac:dyDescent="0.25">
      <c r="A78" s="380" t="s">
        <v>71</v>
      </c>
      <c r="B78" s="388">
        <v>42205</v>
      </c>
      <c r="C78" s="370">
        <v>20</v>
      </c>
      <c r="D78" s="375">
        <v>63.4</v>
      </c>
      <c r="E78" s="371">
        <v>0</v>
      </c>
      <c r="F78" s="371">
        <f t="shared" si="6"/>
        <v>1268</v>
      </c>
      <c r="G78" s="369">
        <v>42219</v>
      </c>
      <c r="H78" s="389">
        <v>55</v>
      </c>
      <c r="I78" s="390">
        <v>59.75</v>
      </c>
      <c r="J78" s="390">
        <v>0.06</v>
      </c>
      <c r="K78" s="390">
        <f t="shared" si="7"/>
        <v>3286.19</v>
      </c>
      <c r="L78" s="369">
        <v>42277</v>
      </c>
      <c r="M78" s="371">
        <v>37.5</v>
      </c>
    </row>
    <row r="79" spans="1:31" x14ac:dyDescent="0.25">
      <c r="A79" s="370"/>
      <c r="B79" s="388">
        <v>42205</v>
      </c>
      <c r="C79" s="370">
        <v>20</v>
      </c>
      <c r="D79" s="375">
        <v>63.15</v>
      </c>
      <c r="E79" s="371">
        <v>0</v>
      </c>
      <c r="F79" s="371">
        <f t="shared" si="6"/>
        <v>1263</v>
      </c>
      <c r="G79" s="369">
        <v>42250</v>
      </c>
      <c r="H79" s="374">
        <v>100</v>
      </c>
      <c r="I79" s="371">
        <v>59.4</v>
      </c>
      <c r="J79" s="371">
        <v>0.11</v>
      </c>
      <c r="K79" s="390">
        <f t="shared" si="7"/>
        <v>5939.89</v>
      </c>
      <c r="L79" s="369">
        <v>42734</v>
      </c>
      <c r="M79" s="371">
        <v>100</v>
      </c>
    </row>
    <row r="80" spans="1:31" x14ac:dyDescent="0.25">
      <c r="A80" s="370"/>
      <c r="B80" s="388">
        <v>42207</v>
      </c>
      <c r="C80" s="370">
        <v>10</v>
      </c>
      <c r="D80" s="375">
        <v>62</v>
      </c>
      <c r="E80" s="371">
        <v>0</v>
      </c>
      <c r="F80" s="371">
        <f t="shared" si="6"/>
        <v>620</v>
      </c>
      <c r="G80" s="369">
        <v>42258</v>
      </c>
      <c r="H80" s="374">
        <v>80</v>
      </c>
      <c r="I80" s="371">
        <v>56.47</v>
      </c>
      <c r="J80" s="371">
        <v>0.08</v>
      </c>
      <c r="K80" s="390">
        <f t="shared" si="7"/>
        <v>4517.5200000000004</v>
      </c>
      <c r="L80" s="369">
        <v>42459</v>
      </c>
      <c r="M80" s="371">
        <v>25</v>
      </c>
    </row>
    <row r="81" spans="1:13" x14ac:dyDescent="0.25">
      <c r="A81" s="370"/>
      <c r="B81" s="388">
        <v>42207</v>
      </c>
      <c r="C81" s="370">
        <v>5</v>
      </c>
      <c r="D81" s="375">
        <v>61.6</v>
      </c>
      <c r="E81" s="371">
        <v>0</v>
      </c>
      <c r="F81" s="371">
        <f t="shared" si="6"/>
        <v>308</v>
      </c>
      <c r="G81" s="369">
        <v>42263</v>
      </c>
      <c r="H81" s="374">
        <v>80</v>
      </c>
      <c r="I81" s="371">
        <v>52.55</v>
      </c>
      <c r="J81" s="371">
        <v>0.08</v>
      </c>
      <c r="K81" s="390">
        <f t="shared" si="7"/>
        <v>4203.92</v>
      </c>
      <c r="L81" s="370"/>
      <c r="M81" s="371"/>
    </row>
    <row r="82" spans="1:13" x14ac:dyDescent="0.25">
      <c r="A82" s="370"/>
      <c r="B82" s="388">
        <v>42207</v>
      </c>
      <c r="C82" s="370">
        <v>20</v>
      </c>
      <c r="D82" s="375">
        <v>59.85</v>
      </c>
      <c r="E82" s="371">
        <v>0</v>
      </c>
      <c r="F82" s="371">
        <f t="shared" si="6"/>
        <v>1197</v>
      </c>
      <c r="G82" s="369">
        <v>42284</v>
      </c>
      <c r="H82" s="374">
        <v>50</v>
      </c>
      <c r="I82" s="371">
        <v>52.85</v>
      </c>
      <c r="J82" s="371">
        <v>0.05</v>
      </c>
      <c r="K82" s="390">
        <f t="shared" si="7"/>
        <v>2642.45</v>
      </c>
      <c r="L82" s="370"/>
      <c r="M82" s="371"/>
    </row>
    <row r="83" spans="1:13" x14ac:dyDescent="0.25">
      <c r="A83" s="370"/>
      <c r="B83" s="388">
        <v>42208</v>
      </c>
      <c r="C83" s="370">
        <v>5</v>
      </c>
      <c r="D83" s="375">
        <v>61.3</v>
      </c>
      <c r="E83" s="371">
        <v>0</v>
      </c>
      <c r="F83" s="371">
        <f t="shared" si="6"/>
        <v>306.5</v>
      </c>
      <c r="G83" s="369">
        <v>42284</v>
      </c>
      <c r="H83" s="374">
        <v>30</v>
      </c>
      <c r="I83" s="371">
        <v>53.05</v>
      </c>
      <c r="J83" s="371">
        <v>0.03</v>
      </c>
      <c r="K83" s="390">
        <f t="shared" si="7"/>
        <v>1591.47</v>
      </c>
      <c r="L83" s="370"/>
      <c r="M83" s="371"/>
    </row>
    <row r="84" spans="1:13" x14ac:dyDescent="0.25">
      <c r="A84" s="370"/>
      <c r="B84" s="388">
        <v>42219</v>
      </c>
      <c r="C84" s="391">
        <v>25</v>
      </c>
      <c r="D84" s="375">
        <v>59.4</v>
      </c>
      <c r="E84" s="371">
        <v>0</v>
      </c>
      <c r="F84" s="371">
        <f t="shared" si="6"/>
        <v>1485</v>
      </c>
      <c r="G84" s="369">
        <v>42291</v>
      </c>
      <c r="H84" s="374">
        <v>80</v>
      </c>
      <c r="I84" s="371">
        <v>61.6</v>
      </c>
      <c r="J84" s="371">
        <v>0.09</v>
      </c>
      <c r="K84" s="390">
        <f t="shared" si="7"/>
        <v>4927.91</v>
      </c>
      <c r="L84" s="370"/>
      <c r="M84" s="371"/>
    </row>
    <row r="85" spans="1:13" x14ac:dyDescent="0.25">
      <c r="A85" s="370"/>
      <c r="B85" s="388">
        <v>42219</v>
      </c>
      <c r="C85" s="391">
        <v>50</v>
      </c>
      <c r="D85" s="375">
        <v>59.2</v>
      </c>
      <c r="E85" s="371">
        <v>0</v>
      </c>
      <c r="F85" s="371">
        <f t="shared" si="6"/>
        <v>2960</v>
      </c>
      <c r="G85" s="369">
        <v>42297</v>
      </c>
      <c r="H85" s="374">
        <v>115</v>
      </c>
      <c r="I85" s="371">
        <v>61.23</v>
      </c>
      <c r="J85" s="371">
        <v>0.13</v>
      </c>
      <c r="K85" s="390">
        <f t="shared" si="7"/>
        <v>7041.32</v>
      </c>
      <c r="L85" s="370"/>
      <c r="M85" s="371"/>
    </row>
    <row r="86" spans="1:13" x14ac:dyDescent="0.25">
      <c r="A86" s="370"/>
      <c r="B86" s="388">
        <v>42226</v>
      </c>
      <c r="C86" s="391">
        <v>5</v>
      </c>
      <c r="D86" s="375">
        <v>56.2</v>
      </c>
      <c r="E86" s="371">
        <v>0</v>
      </c>
      <c r="F86" s="371">
        <f t="shared" si="6"/>
        <v>281</v>
      </c>
      <c r="G86" s="369">
        <v>42304</v>
      </c>
      <c r="H86" s="374">
        <v>80</v>
      </c>
      <c r="I86" s="371">
        <v>59.76</v>
      </c>
      <c r="J86" s="371">
        <v>0.09</v>
      </c>
      <c r="K86" s="390">
        <f t="shared" si="7"/>
        <v>4780.71</v>
      </c>
      <c r="L86" s="370"/>
      <c r="M86" s="371"/>
    </row>
    <row r="87" spans="1:13" x14ac:dyDescent="0.25">
      <c r="A87" s="370"/>
      <c r="B87" s="388">
        <v>42226</v>
      </c>
      <c r="C87" s="370">
        <v>15</v>
      </c>
      <c r="D87" s="375">
        <v>56.5</v>
      </c>
      <c r="E87" s="371">
        <v>0</v>
      </c>
      <c r="F87" s="371">
        <f t="shared" si="6"/>
        <v>847.5</v>
      </c>
      <c r="G87" s="369">
        <v>42314</v>
      </c>
      <c r="H87" s="374">
        <v>10</v>
      </c>
      <c r="I87" s="371">
        <v>59.65</v>
      </c>
      <c r="J87" s="371">
        <v>0.01</v>
      </c>
      <c r="K87" s="390">
        <f t="shared" si="7"/>
        <v>596.49</v>
      </c>
      <c r="L87" s="370"/>
      <c r="M87" s="371"/>
    </row>
    <row r="88" spans="1:13" x14ac:dyDescent="0.25">
      <c r="A88" s="370"/>
      <c r="B88" s="388">
        <v>42240</v>
      </c>
      <c r="C88" s="391">
        <v>15</v>
      </c>
      <c r="D88" s="375">
        <v>57.19</v>
      </c>
      <c r="E88" s="371">
        <v>0</v>
      </c>
      <c r="F88" s="371">
        <f t="shared" si="6"/>
        <v>857.84999999999991</v>
      </c>
      <c r="G88" s="369">
        <v>42338</v>
      </c>
      <c r="H88" s="374">
        <v>75</v>
      </c>
      <c r="I88" s="371">
        <v>61.49</v>
      </c>
      <c r="J88" s="371">
        <v>0.08</v>
      </c>
      <c r="K88" s="371">
        <f t="shared" si="7"/>
        <v>4611.67</v>
      </c>
      <c r="L88" s="370"/>
      <c r="M88" s="371"/>
    </row>
    <row r="89" spans="1:13" x14ac:dyDescent="0.25">
      <c r="A89" s="370"/>
      <c r="B89" s="388">
        <v>42240</v>
      </c>
      <c r="C89" s="370">
        <v>20</v>
      </c>
      <c r="D89" s="375">
        <v>56.6</v>
      </c>
      <c r="E89" s="371">
        <v>0</v>
      </c>
      <c r="F89" s="371">
        <f t="shared" si="6"/>
        <v>1132</v>
      </c>
      <c r="G89" s="369">
        <v>42354</v>
      </c>
      <c r="H89" s="374">
        <v>100</v>
      </c>
      <c r="I89" s="371">
        <v>50.1</v>
      </c>
      <c r="J89" s="371">
        <v>0.09</v>
      </c>
      <c r="K89" s="371">
        <f t="shared" si="7"/>
        <v>5009.91</v>
      </c>
      <c r="L89" s="370"/>
      <c r="M89" s="371"/>
    </row>
    <row r="90" spans="1:13" x14ac:dyDescent="0.25">
      <c r="A90" s="370"/>
      <c r="B90" s="388">
        <v>42240</v>
      </c>
      <c r="C90" s="370">
        <v>30</v>
      </c>
      <c r="D90" s="375">
        <v>56.5</v>
      </c>
      <c r="E90" s="371">
        <v>0</v>
      </c>
      <c r="F90" s="371">
        <f t="shared" si="6"/>
        <v>1695</v>
      </c>
      <c r="G90" s="369">
        <v>42354</v>
      </c>
      <c r="H90" s="374">
        <v>200</v>
      </c>
      <c r="I90" s="371">
        <v>50.15</v>
      </c>
      <c r="J90" s="371">
        <v>0.18</v>
      </c>
      <c r="K90" s="371">
        <f t="shared" si="7"/>
        <v>10029.82</v>
      </c>
      <c r="L90" s="370"/>
      <c r="M90" s="371"/>
    </row>
    <row r="91" spans="1:13" ht="15" customHeight="1" x14ac:dyDescent="0.25">
      <c r="A91" s="370"/>
      <c r="B91" s="395">
        <v>42258</v>
      </c>
      <c r="C91" s="370">
        <v>80</v>
      </c>
      <c r="D91" s="375">
        <v>55.45</v>
      </c>
      <c r="E91" s="371">
        <v>0</v>
      </c>
      <c r="F91" s="371">
        <f t="shared" si="6"/>
        <v>4436</v>
      </c>
      <c r="G91" s="369">
        <v>42354</v>
      </c>
      <c r="H91" s="374">
        <v>100</v>
      </c>
      <c r="I91" s="371">
        <v>50.15</v>
      </c>
      <c r="J91" s="371">
        <v>0.09</v>
      </c>
      <c r="K91" s="371">
        <f t="shared" si="7"/>
        <v>5014.91</v>
      </c>
      <c r="L91" s="370"/>
      <c r="M91" s="371"/>
    </row>
    <row r="92" spans="1:13" x14ac:dyDescent="0.25">
      <c r="A92" s="370"/>
      <c r="B92" s="395"/>
      <c r="C92" s="370">
        <v>20</v>
      </c>
      <c r="D92" s="375">
        <v>55.45</v>
      </c>
      <c r="E92" s="371">
        <v>0</v>
      </c>
      <c r="F92" s="371">
        <f t="shared" si="6"/>
        <v>1109</v>
      </c>
      <c r="G92" s="369">
        <v>42367</v>
      </c>
      <c r="H92" s="374">
        <v>400</v>
      </c>
      <c r="I92" s="371">
        <v>49.86</v>
      </c>
      <c r="J92" s="371">
        <v>0.37</v>
      </c>
      <c r="K92" s="371">
        <f t="shared" si="7"/>
        <v>19943.63</v>
      </c>
      <c r="L92" s="370"/>
      <c r="M92" s="371"/>
    </row>
    <row r="93" spans="1:13" x14ac:dyDescent="0.25">
      <c r="A93" s="370"/>
      <c r="B93" s="396">
        <v>42263</v>
      </c>
      <c r="C93" s="370">
        <v>50</v>
      </c>
      <c r="D93" s="375">
        <v>52.7</v>
      </c>
      <c r="E93" s="371">
        <v>0</v>
      </c>
      <c r="F93" s="371">
        <f t="shared" si="6"/>
        <v>2635</v>
      </c>
      <c r="G93" s="369">
        <v>42375</v>
      </c>
      <c r="H93" s="374">
        <v>100</v>
      </c>
      <c r="I93" s="371">
        <v>47.56</v>
      </c>
      <c r="J93" s="371">
        <v>0.09</v>
      </c>
      <c r="K93" s="371">
        <f t="shared" si="7"/>
        <v>4755.91</v>
      </c>
      <c r="L93" s="370"/>
      <c r="M93" s="370"/>
    </row>
    <row r="94" spans="1:13" x14ac:dyDescent="0.25">
      <c r="A94" s="370"/>
      <c r="B94" s="396"/>
      <c r="C94" s="370">
        <v>30</v>
      </c>
      <c r="D94" s="375">
        <v>52.7</v>
      </c>
      <c r="E94" s="371">
        <v>0</v>
      </c>
      <c r="F94" s="371">
        <f t="shared" si="6"/>
        <v>1581</v>
      </c>
      <c r="G94" s="369">
        <v>42398</v>
      </c>
      <c r="H94" s="374">
        <v>150</v>
      </c>
      <c r="I94" s="371">
        <v>40.880000000000003</v>
      </c>
      <c r="J94" s="371">
        <v>0.11</v>
      </c>
      <c r="K94" s="371">
        <f t="shared" si="7"/>
        <v>6131.89</v>
      </c>
      <c r="L94" s="370"/>
      <c r="M94" s="370"/>
    </row>
    <row r="95" spans="1:13" x14ac:dyDescent="0.25">
      <c r="A95" s="370"/>
      <c r="B95" s="388">
        <v>42263</v>
      </c>
      <c r="C95" s="370">
        <v>50</v>
      </c>
      <c r="D95" s="375">
        <v>52.05</v>
      </c>
      <c r="E95" s="371">
        <v>0</v>
      </c>
      <c r="F95" s="371">
        <f t="shared" si="6"/>
        <v>2602.5</v>
      </c>
      <c r="G95" s="369">
        <v>42405</v>
      </c>
      <c r="H95" s="374">
        <v>100</v>
      </c>
      <c r="I95" s="371">
        <v>38.445</v>
      </c>
      <c r="J95" s="371">
        <v>7.0000000000000007E-2</v>
      </c>
      <c r="K95" s="371">
        <f t="shared" si="7"/>
        <v>3844.43</v>
      </c>
      <c r="L95" s="370"/>
      <c r="M95" s="370"/>
    </row>
    <row r="96" spans="1:13" x14ac:dyDescent="0.25">
      <c r="A96" s="370"/>
      <c r="B96" s="396">
        <v>42270</v>
      </c>
      <c r="C96" s="370">
        <v>30</v>
      </c>
      <c r="D96" s="375">
        <v>52.5</v>
      </c>
      <c r="E96" s="371">
        <v>0</v>
      </c>
      <c r="F96" s="371">
        <f t="shared" si="6"/>
        <v>1575</v>
      </c>
      <c r="G96" s="369">
        <v>42426</v>
      </c>
      <c r="H96" s="374">
        <v>150</v>
      </c>
      <c r="I96" s="371">
        <v>43.25</v>
      </c>
      <c r="J96" s="371">
        <v>0.14000000000000001</v>
      </c>
      <c r="K96" s="371">
        <f t="shared" si="7"/>
        <v>6487.36</v>
      </c>
      <c r="L96" s="370"/>
      <c r="M96" s="370"/>
    </row>
    <row r="97" spans="1:13" x14ac:dyDescent="0.25">
      <c r="A97" s="370"/>
      <c r="B97" s="396"/>
      <c r="C97" s="370">
        <v>20</v>
      </c>
      <c r="D97" s="375">
        <v>52.5</v>
      </c>
      <c r="E97" s="371">
        <v>0</v>
      </c>
      <c r="F97" s="371">
        <f t="shared" si="6"/>
        <v>1050</v>
      </c>
      <c r="G97" s="369">
        <v>42426</v>
      </c>
      <c r="H97" s="374">
        <v>150</v>
      </c>
      <c r="I97" s="371">
        <v>43.4</v>
      </c>
      <c r="J97" s="371">
        <v>0.14000000000000001</v>
      </c>
      <c r="K97" s="371">
        <f t="shared" si="7"/>
        <v>6509.86</v>
      </c>
      <c r="L97" s="370"/>
      <c r="M97" s="370"/>
    </row>
    <row r="98" spans="1:13" x14ac:dyDescent="0.25">
      <c r="A98" s="370"/>
      <c r="B98" s="388">
        <v>42292</v>
      </c>
      <c r="C98" s="370">
        <v>80</v>
      </c>
      <c r="D98" s="375">
        <v>61.25</v>
      </c>
      <c r="E98" s="371">
        <v>0</v>
      </c>
      <c r="F98" s="371">
        <f t="shared" si="6"/>
        <v>4900</v>
      </c>
      <c r="G98" s="369">
        <v>42431</v>
      </c>
      <c r="H98" s="374">
        <v>150</v>
      </c>
      <c r="I98" s="371">
        <v>45.95</v>
      </c>
      <c r="J98" s="371">
        <v>0.15</v>
      </c>
      <c r="K98" s="371">
        <f t="shared" si="7"/>
        <v>6892.35</v>
      </c>
      <c r="L98" s="370"/>
      <c r="M98" s="370"/>
    </row>
    <row r="99" spans="1:13" x14ac:dyDescent="0.25">
      <c r="A99" s="370"/>
      <c r="B99" s="388">
        <v>42292</v>
      </c>
      <c r="C99" s="370">
        <v>80</v>
      </c>
      <c r="D99" s="375">
        <v>59.75</v>
      </c>
      <c r="E99" s="371">
        <v>0</v>
      </c>
      <c r="F99" s="371">
        <f t="shared" si="6"/>
        <v>4780</v>
      </c>
      <c r="G99" s="369">
        <v>42431</v>
      </c>
      <c r="H99" s="374">
        <v>150</v>
      </c>
      <c r="I99" s="371">
        <v>45.5</v>
      </c>
      <c r="J99" s="371">
        <v>0.15</v>
      </c>
      <c r="K99" s="371">
        <f t="shared" si="7"/>
        <v>6824.85</v>
      </c>
      <c r="L99" s="370"/>
      <c r="M99" s="370"/>
    </row>
    <row r="100" spans="1:13" x14ac:dyDescent="0.25">
      <c r="A100" s="370"/>
      <c r="B100" s="388">
        <v>42310</v>
      </c>
      <c r="C100" s="370">
        <v>80</v>
      </c>
      <c r="D100" s="375">
        <v>55.225000000000001</v>
      </c>
      <c r="E100" s="371">
        <v>6.95</v>
      </c>
      <c r="F100" s="371">
        <f t="shared" si="6"/>
        <v>4424.95</v>
      </c>
      <c r="G100" s="369">
        <v>42431</v>
      </c>
      <c r="H100" s="374">
        <v>150</v>
      </c>
      <c r="I100" s="371">
        <v>46.4</v>
      </c>
      <c r="J100" s="371">
        <v>0.15</v>
      </c>
      <c r="K100" s="371">
        <f t="shared" si="7"/>
        <v>6959.85</v>
      </c>
      <c r="L100" s="370"/>
      <c r="M100" s="370"/>
    </row>
    <row r="101" spans="1:13" x14ac:dyDescent="0.25">
      <c r="A101" s="370"/>
      <c r="B101" s="388">
        <v>42310</v>
      </c>
      <c r="C101" s="370">
        <v>40</v>
      </c>
      <c r="D101" s="375">
        <v>53.01</v>
      </c>
      <c r="E101" s="371">
        <v>6.95</v>
      </c>
      <c r="F101" s="371">
        <f t="shared" si="6"/>
        <v>2127.35</v>
      </c>
      <c r="G101" s="369">
        <v>42431</v>
      </c>
      <c r="H101" s="374">
        <v>150</v>
      </c>
      <c r="I101" s="371">
        <v>46.72</v>
      </c>
      <c r="J101" s="371">
        <v>0.15</v>
      </c>
      <c r="K101" s="371">
        <f t="shared" si="7"/>
        <v>7007.85</v>
      </c>
      <c r="L101" s="370"/>
      <c r="M101" s="370"/>
    </row>
    <row r="102" spans="1:13" x14ac:dyDescent="0.25">
      <c r="A102" s="370"/>
      <c r="B102" s="388">
        <v>42340</v>
      </c>
      <c r="C102" s="370">
        <v>40</v>
      </c>
      <c r="D102" s="375">
        <v>58.6</v>
      </c>
      <c r="E102" s="371">
        <v>0</v>
      </c>
      <c r="F102" s="371">
        <f t="shared" si="6"/>
        <v>2344</v>
      </c>
      <c r="G102" s="369">
        <v>42433</v>
      </c>
      <c r="H102" s="374">
        <v>50</v>
      </c>
      <c r="I102" s="371">
        <v>50.35</v>
      </c>
      <c r="J102" s="371">
        <v>0.05</v>
      </c>
      <c r="K102" s="371">
        <f t="shared" si="7"/>
        <v>2517.4499999999998</v>
      </c>
      <c r="L102" s="370"/>
      <c r="M102" s="370"/>
    </row>
    <row r="103" spans="1:13" ht="45" x14ac:dyDescent="0.25">
      <c r="A103" s="370"/>
      <c r="B103" s="397" t="s">
        <v>169</v>
      </c>
      <c r="C103" s="370">
        <v>45</v>
      </c>
      <c r="D103" s="375">
        <v>50.45</v>
      </c>
      <c r="E103" s="371">
        <v>0</v>
      </c>
      <c r="F103" s="371">
        <f t="shared" si="6"/>
        <v>2270.25</v>
      </c>
      <c r="G103" s="369">
        <v>42440</v>
      </c>
      <c r="H103" s="374">
        <v>250</v>
      </c>
      <c r="I103" s="371">
        <v>50.24</v>
      </c>
      <c r="J103" s="371">
        <v>0.27</v>
      </c>
      <c r="K103" s="371">
        <f t="shared" si="7"/>
        <v>12559.73</v>
      </c>
      <c r="L103" s="370"/>
      <c r="M103" s="370"/>
    </row>
    <row r="104" spans="1:13" x14ac:dyDescent="0.25">
      <c r="A104" s="370"/>
      <c r="B104" s="397"/>
      <c r="C104" s="370">
        <v>75</v>
      </c>
      <c r="D104" s="375">
        <v>50.42</v>
      </c>
      <c r="E104" s="371">
        <v>0</v>
      </c>
      <c r="F104" s="371">
        <f t="shared" si="6"/>
        <v>3781.5</v>
      </c>
      <c r="G104" s="369">
        <v>42440</v>
      </c>
      <c r="H104" s="374">
        <v>50</v>
      </c>
      <c r="I104" s="371">
        <v>50.73</v>
      </c>
      <c r="J104" s="371">
        <v>0.05</v>
      </c>
      <c r="K104" s="371">
        <f t="shared" si="7"/>
        <v>2536.4499999999998</v>
      </c>
      <c r="L104" s="370"/>
      <c r="M104" s="370"/>
    </row>
    <row r="105" spans="1:13" x14ac:dyDescent="0.25">
      <c r="A105" s="370"/>
      <c r="B105" s="397"/>
      <c r="C105" s="370">
        <v>100</v>
      </c>
      <c r="D105" s="375">
        <v>50.33</v>
      </c>
      <c r="E105" s="371">
        <v>0</v>
      </c>
      <c r="F105" s="371">
        <f t="shared" si="6"/>
        <v>5033</v>
      </c>
      <c r="G105" s="369">
        <v>42440</v>
      </c>
      <c r="H105" s="374">
        <v>50</v>
      </c>
      <c r="I105" s="371">
        <v>51.08</v>
      </c>
      <c r="J105" s="371">
        <v>0.06</v>
      </c>
      <c r="K105" s="371">
        <f t="shared" si="7"/>
        <v>2553.94</v>
      </c>
      <c r="L105" s="370"/>
      <c r="M105" s="370"/>
    </row>
    <row r="106" spans="1:13" x14ac:dyDescent="0.25">
      <c r="A106" s="370"/>
      <c r="B106" s="397"/>
      <c r="C106" s="370">
        <v>100</v>
      </c>
      <c r="D106" s="375">
        <v>50.25</v>
      </c>
      <c r="E106" s="371">
        <v>0</v>
      </c>
      <c r="F106" s="371">
        <f t="shared" si="6"/>
        <v>5025</v>
      </c>
      <c r="G106" s="369">
        <v>42445</v>
      </c>
      <c r="H106" s="374">
        <v>20</v>
      </c>
      <c r="I106" s="371">
        <v>51.59</v>
      </c>
      <c r="J106" s="371">
        <v>0.02</v>
      </c>
      <c r="K106" s="371">
        <f t="shared" si="7"/>
        <v>1031.7800000000002</v>
      </c>
      <c r="L106" s="370"/>
      <c r="M106" s="370"/>
    </row>
    <row r="107" spans="1:13" x14ac:dyDescent="0.25">
      <c r="A107" s="370"/>
      <c r="B107" s="397"/>
      <c r="C107" s="370">
        <v>100</v>
      </c>
      <c r="D107" s="375">
        <v>50.05</v>
      </c>
      <c r="E107" s="371">
        <v>0</v>
      </c>
      <c r="F107" s="371">
        <f t="shared" si="6"/>
        <v>5005</v>
      </c>
      <c r="G107" s="369">
        <v>42446</v>
      </c>
      <c r="H107" s="374">
        <v>80</v>
      </c>
      <c r="I107" s="371">
        <v>53.45</v>
      </c>
      <c r="J107" s="371">
        <v>0.09</v>
      </c>
      <c r="K107" s="371">
        <f t="shared" si="7"/>
        <v>4275.91</v>
      </c>
      <c r="L107" s="370"/>
      <c r="M107" s="370"/>
    </row>
    <row r="108" spans="1:13" x14ac:dyDescent="0.25">
      <c r="A108" s="370"/>
      <c r="B108" s="397"/>
      <c r="C108" s="370">
        <v>100</v>
      </c>
      <c r="D108" s="375">
        <v>49.99</v>
      </c>
      <c r="E108" s="371">
        <v>0</v>
      </c>
      <c r="F108" s="371">
        <f t="shared" si="6"/>
        <v>4999</v>
      </c>
      <c r="G108" s="369">
        <v>42460</v>
      </c>
      <c r="H108" s="374">
        <v>50</v>
      </c>
      <c r="I108" s="371">
        <v>52.74</v>
      </c>
      <c r="J108" s="371">
        <v>0.06</v>
      </c>
      <c r="K108" s="371">
        <f t="shared" si="7"/>
        <v>2636.94</v>
      </c>
      <c r="L108" s="370"/>
      <c r="M108" s="370"/>
    </row>
    <row r="109" spans="1:13" x14ac:dyDescent="0.25">
      <c r="A109" s="370"/>
      <c r="B109" s="397"/>
      <c r="C109" s="370">
        <v>200</v>
      </c>
      <c r="D109" s="375">
        <v>49.69</v>
      </c>
      <c r="E109" s="371">
        <v>0</v>
      </c>
      <c r="F109" s="371">
        <f t="shared" si="6"/>
        <v>9938</v>
      </c>
      <c r="G109" s="369">
        <v>42466</v>
      </c>
      <c r="H109" s="374">
        <v>50</v>
      </c>
      <c r="I109" s="371">
        <v>53.25</v>
      </c>
      <c r="J109" s="371">
        <v>0.06</v>
      </c>
      <c r="K109" s="371">
        <f t="shared" si="7"/>
        <v>2662.44</v>
      </c>
      <c r="L109" s="370"/>
      <c r="M109" s="370"/>
    </row>
    <row r="110" spans="1:13" x14ac:dyDescent="0.25">
      <c r="A110" s="370"/>
      <c r="B110" s="388">
        <v>42362</v>
      </c>
      <c r="C110" s="370">
        <v>300</v>
      </c>
      <c r="D110" s="375">
        <v>48.18</v>
      </c>
      <c r="E110" s="371">
        <v>0</v>
      </c>
      <c r="F110" s="371">
        <f t="shared" si="6"/>
        <v>14454</v>
      </c>
      <c r="G110" s="369">
        <v>42472</v>
      </c>
      <c r="H110" s="374">
        <v>20</v>
      </c>
      <c r="I110" s="371">
        <v>57.11</v>
      </c>
      <c r="J110" s="371">
        <v>-0.03</v>
      </c>
      <c r="K110" s="371">
        <f t="shared" si="7"/>
        <v>1142.23</v>
      </c>
      <c r="L110" s="370"/>
      <c r="M110" s="370"/>
    </row>
    <row r="111" spans="1:13" x14ac:dyDescent="0.25">
      <c r="A111" s="370"/>
      <c r="B111" s="388">
        <v>42362</v>
      </c>
      <c r="C111" s="370">
        <v>300</v>
      </c>
      <c r="D111" s="375">
        <v>47.73</v>
      </c>
      <c r="E111" s="371">
        <v>-0.03</v>
      </c>
      <c r="F111" s="371">
        <f t="shared" si="6"/>
        <v>14318.969999999998</v>
      </c>
      <c r="G111" s="369">
        <v>42478</v>
      </c>
      <c r="H111" s="374">
        <v>20</v>
      </c>
      <c r="I111" s="371">
        <v>58.75</v>
      </c>
      <c r="J111" s="371">
        <v>0.03</v>
      </c>
      <c r="K111" s="371">
        <f t="shared" si="7"/>
        <v>1174.97</v>
      </c>
      <c r="L111" s="370"/>
      <c r="M111" s="370"/>
    </row>
    <row r="112" spans="1:13" x14ac:dyDescent="0.25">
      <c r="A112" s="370"/>
      <c r="B112" s="388">
        <v>42374</v>
      </c>
      <c r="C112" s="370">
        <v>100</v>
      </c>
      <c r="D112" s="375">
        <v>47.13</v>
      </c>
      <c r="E112" s="371">
        <v>0</v>
      </c>
      <c r="F112" s="371">
        <f t="shared" si="6"/>
        <v>4713</v>
      </c>
      <c r="G112" s="369">
        <v>42501</v>
      </c>
      <c r="H112" s="374">
        <v>30</v>
      </c>
      <c r="I112" s="371">
        <v>58.45</v>
      </c>
      <c r="J112" s="371">
        <v>0.04</v>
      </c>
      <c r="K112" s="371">
        <f t="shared" si="7"/>
        <v>1753.46</v>
      </c>
      <c r="L112" s="370"/>
      <c r="M112" s="370"/>
    </row>
    <row r="113" spans="1:13" x14ac:dyDescent="0.25">
      <c r="A113" s="370"/>
      <c r="B113" s="388">
        <v>42375</v>
      </c>
      <c r="C113" s="370">
        <v>100</v>
      </c>
      <c r="D113" s="375">
        <v>46.02</v>
      </c>
      <c r="E113" s="371">
        <v>0</v>
      </c>
      <c r="F113" s="371">
        <f t="shared" si="6"/>
        <v>4602</v>
      </c>
      <c r="G113" s="370"/>
      <c r="H113" s="374"/>
      <c r="I113" s="371"/>
      <c r="J113" s="371"/>
      <c r="K113" s="371"/>
      <c r="L113" s="370"/>
      <c r="M113" s="370"/>
    </row>
    <row r="114" spans="1:13" x14ac:dyDescent="0.25">
      <c r="A114" s="370"/>
      <c r="B114" s="396">
        <v>42375</v>
      </c>
      <c r="C114" s="370">
        <v>30</v>
      </c>
      <c r="D114" s="375">
        <v>45.1</v>
      </c>
      <c r="E114" s="371">
        <v>0</v>
      </c>
      <c r="F114" s="371">
        <f t="shared" si="6"/>
        <v>1353</v>
      </c>
      <c r="G114" s="370"/>
      <c r="H114" s="374"/>
      <c r="I114" s="371"/>
      <c r="J114" s="371"/>
      <c r="K114" s="371"/>
      <c r="L114" s="370"/>
      <c r="M114" s="370"/>
    </row>
    <row r="115" spans="1:13" x14ac:dyDescent="0.25">
      <c r="A115" s="370"/>
      <c r="B115" s="396"/>
      <c r="C115" s="370">
        <v>20</v>
      </c>
      <c r="D115" s="375">
        <v>45.1</v>
      </c>
      <c r="E115" s="371">
        <v>0</v>
      </c>
      <c r="F115" s="371">
        <f t="shared" si="6"/>
        <v>902</v>
      </c>
      <c r="G115" s="370"/>
      <c r="H115" s="374"/>
      <c r="I115" s="371"/>
      <c r="J115" s="371"/>
      <c r="K115" s="371"/>
      <c r="L115" s="370"/>
      <c r="M115" s="370"/>
    </row>
    <row r="116" spans="1:13" x14ac:dyDescent="0.25">
      <c r="A116" s="370"/>
      <c r="B116" s="388">
        <v>42402</v>
      </c>
      <c r="C116" s="370">
        <v>150</v>
      </c>
      <c r="D116" s="375">
        <v>39.450000000000003</v>
      </c>
      <c r="E116" s="371">
        <v>0</v>
      </c>
      <c r="F116" s="371">
        <f t="shared" si="6"/>
        <v>5917.5</v>
      </c>
      <c r="G116" s="370"/>
      <c r="H116" s="374"/>
      <c r="I116" s="371"/>
      <c r="J116" s="371"/>
      <c r="K116" s="371"/>
      <c r="L116" s="370"/>
      <c r="M116" s="370"/>
    </row>
    <row r="117" spans="1:13" x14ac:dyDescent="0.25">
      <c r="A117" s="370"/>
      <c r="B117" s="388">
        <v>42405</v>
      </c>
      <c r="C117" s="370">
        <v>100</v>
      </c>
      <c r="D117" s="375">
        <v>38.385100000000001</v>
      </c>
      <c r="E117" s="371">
        <v>0</v>
      </c>
      <c r="F117" s="371">
        <f t="shared" si="6"/>
        <v>3838.51</v>
      </c>
      <c r="G117" s="370"/>
      <c r="H117" s="374"/>
      <c r="I117" s="371"/>
      <c r="J117" s="371"/>
      <c r="K117" s="371"/>
      <c r="L117" s="370"/>
      <c r="M117" s="370"/>
    </row>
    <row r="118" spans="1:13" x14ac:dyDescent="0.25">
      <c r="A118" s="370"/>
      <c r="B118" s="388">
        <v>42426</v>
      </c>
      <c r="C118" s="370">
        <v>150</v>
      </c>
      <c r="D118" s="375">
        <v>43.09</v>
      </c>
      <c r="E118" s="371">
        <v>0</v>
      </c>
      <c r="F118" s="371">
        <f t="shared" si="6"/>
        <v>6463.5000000000009</v>
      </c>
      <c r="G118" s="370"/>
      <c r="H118" s="374"/>
      <c r="I118" s="371"/>
      <c r="J118" s="371"/>
      <c r="K118" s="371"/>
      <c r="L118" s="370"/>
      <c r="M118" s="370"/>
    </row>
    <row r="119" spans="1:13" x14ac:dyDescent="0.25">
      <c r="A119" s="370"/>
      <c r="B119" s="388">
        <v>42426</v>
      </c>
      <c r="C119" s="370">
        <v>150</v>
      </c>
      <c r="D119" s="375">
        <v>42.89</v>
      </c>
      <c r="E119" s="371">
        <v>0</v>
      </c>
      <c r="F119" s="371">
        <f t="shared" si="6"/>
        <v>6433.5</v>
      </c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370"/>
      <c r="B120" s="388">
        <v>42431</v>
      </c>
      <c r="C120" s="370">
        <v>150</v>
      </c>
      <c r="D120" s="375">
        <v>45.49</v>
      </c>
      <c r="E120" s="371">
        <v>0</v>
      </c>
      <c r="F120" s="371">
        <f t="shared" si="6"/>
        <v>6823.5</v>
      </c>
      <c r="G120" s="370"/>
      <c r="H120" s="374"/>
      <c r="I120" s="371"/>
      <c r="J120" s="371"/>
      <c r="K120" s="371"/>
      <c r="L120" s="370"/>
      <c r="M120" s="370"/>
    </row>
    <row r="121" spans="1:13" x14ac:dyDescent="0.25">
      <c r="A121" s="370"/>
      <c r="B121" s="388">
        <v>42431</v>
      </c>
      <c r="C121" s="370">
        <v>150</v>
      </c>
      <c r="D121" s="375">
        <v>45.07</v>
      </c>
      <c r="E121" s="371">
        <v>0</v>
      </c>
      <c r="F121" s="371">
        <f t="shared" si="6"/>
        <v>6760.5</v>
      </c>
      <c r="G121" s="370"/>
      <c r="H121" s="374"/>
      <c r="I121" s="371"/>
      <c r="J121" s="371"/>
      <c r="K121" s="371"/>
      <c r="L121" s="370"/>
      <c r="M121" s="370"/>
    </row>
    <row r="122" spans="1:13" x14ac:dyDescent="0.25">
      <c r="A122" s="370"/>
      <c r="B122" s="388">
        <v>42433</v>
      </c>
      <c r="C122" s="370">
        <v>50</v>
      </c>
      <c r="D122" s="375">
        <v>49.45</v>
      </c>
      <c r="E122" s="371">
        <v>0</v>
      </c>
      <c r="F122" s="371">
        <f t="shared" si="6"/>
        <v>2472.5</v>
      </c>
      <c r="G122" s="370"/>
      <c r="H122" s="374"/>
      <c r="I122" s="371"/>
      <c r="J122" s="371"/>
      <c r="K122" s="371"/>
      <c r="L122" s="370"/>
      <c r="M122" s="370"/>
    </row>
    <row r="123" spans="1:13" x14ac:dyDescent="0.25">
      <c r="A123" s="370"/>
      <c r="B123" s="388">
        <v>42444</v>
      </c>
      <c r="C123" s="370">
        <v>50</v>
      </c>
      <c r="D123" s="375">
        <v>48.21</v>
      </c>
      <c r="E123" s="371">
        <v>0</v>
      </c>
      <c r="F123" s="371">
        <f t="shared" si="6"/>
        <v>2410.5</v>
      </c>
      <c r="G123" s="370"/>
      <c r="H123" s="374"/>
      <c r="I123" s="371"/>
      <c r="J123" s="371"/>
      <c r="K123" s="371"/>
      <c r="L123" s="370"/>
      <c r="M123" s="370"/>
    </row>
    <row r="124" spans="1:13" x14ac:dyDescent="0.25">
      <c r="A124" s="370"/>
      <c r="B124" s="388">
        <v>42452</v>
      </c>
      <c r="C124" s="370">
        <v>50</v>
      </c>
      <c r="D124" s="375">
        <v>51.6</v>
      </c>
      <c r="E124" s="371">
        <v>0</v>
      </c>
      <c r="F124" s="371">
        <f t="shared" si="6"/>
        <v>2580</v>
      </c>
      <c r="G124" s="370"/>
      <c r="H124" s="374"/>
      <c r="I124" s="371"/>
      <c r="J124" s="371"/>
      <c r="K124" s="371"/>
      <c r="L124" s="370"/>
      <c r="M124" s="370"/>
    </row>
    <row r="125" spans="1:13" x14ac:dyDescent="0.25">
      <c r="A125" s="370"/>
      <c r="B125" s="388">
        <v>42464</v>
      </c>
      <c r="C125" s="370">
        <v>50</v>
      </c>
      <c r="D125" s="375">
        <v>50.62</v>
      </c>
      <c r="E125" s="371">
        <v>0</v>
      </c>
      <c r="F125" s="371">
        <f t="shared" si="6"/>
        <v>2531</v>
      </c>
      <c r="G125" s="370"/>
      <c r="H125" s="374"/>
      <c r="I125" s="371"/>
      <c r="J125" s="371"/>
      <c r="K125" s="371"/>
      <c r="L125" s="370"/>
      <c r="M125" s="370"/>
    </row>
    <row r="126" spans="1:13" x14ac:dyDescent="0.25">
      <c r="A126" s="370"/>
      <c r="B126" s="388">
        <v>42493</v>
      </c>
      <c r="C126" s="370">
        <v>20</v>
      </c>
      <c r="D126" s="375">
        <v>56.5</v>
      </c>
      <c r="E126" s="371">
        <v>0</v>
      </c>
      <c r="F126" s="371">
        <f t="shared" si="6"/>
        <v>1130</v>
      </c>
      <c r="G126" s="370"/>
      <c r="H126" s="374"/>
      <c r="I126" s="371"/>
      <c r="J126" s="371"/>
      <c r="K126" s="371"/>
      <c r="L126" s="370"/>
      <c r="M126" s="370"/>
    </row>
    <row r="127" spans="1:13" x14ac:dyDescent="0.25">
      <c r="A127" s="370"/>
      <c r="B127" s="392"/>
      <c r="C127" s="370"/>
      <c r="D127" s="375"/>
      <c r="E127" s="371"/>
      <c r="F127" s="371"/>
      <c r="G127" s="370"/>
      <c r="H127" s="374"/>
      <c r="I127" s="371"/>
      <c r="J127" s="371"/>
      <c r="K127" s="371"/>
      <c r="L127" s="370"/>
      <c r="M127" s="370"/>
    </row>
    <row r="128" spans="1:13" x14ac:dyDescent="0.25">
      <c r="A128" s="21" t="s">
        <v>81</v>
      </c>
      <c r="B128" s="393"/>
      <c r="C128" s="12">
        <f>SUM(C77:C127)</f>
        <v>3500</v>
      </c>
      <c r="D128" s="394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0"/>
      <c r="B129" s="392"/>
      <c r="C129" s="370"/>
      <c r="D129" s="375"/>
      <c r="E129" s="371"/>
      <c r="F129" s="371"/>
      <c r="G129" s="370"/>
      <c r="H129" s="374"/>
      <c r="I129" s="371"/>
      <c r="J129" s="371"/>
      <c r="K129" s="371"/>
      <c r="L129" s="370"/>
      <c r="M129" s="370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1176" priority="17">
      <formula>F38&gt;0</formula>
    </cfRule>
    <cfRule type="expression" dxfId="1175" priority="18">
      <formula>F38&lt;0</formula>
    </cfRule>
  </conditionalFormatting>
  <conditionalFormatting sqref="H38:H72">
    <cfRule type="expression" dxfId="1174" priority="9">
      <formula>H38&gt;0</formula>
    </cfRule>
    <cfRule type="expression" dxfId="1173" priority="10">
      <formula>H38&lt;0</formula>
    </cfRule>
  </conditionalFormatting>
  <conditionalFormatting sqref="F21:F37">
    <cfRule type="expression" dxfId="1172" priority="7">
      <formula>F21&gt;0</formula>
    </cfRule>
    <cfRule type="expression" dxfId="1171" priority="8">
      <formula>F21&lt;0</formula>
    </cfRule>
  </conditionalFormatting>
  <conditionalFormatting sqref="H21:H37">
    <cfRule type="expression" dxfId="1170" priority="5">
      <formula>H21&gt;0</formula>
    </cfRule>
    <cfRule type="expression" dxfId="1169" priority="6">
      <formula>H21&lt;0</formula>
    </cfRule>
  </conditionalFormatting>
  <conditionalFormatting sqref="Q8">
    <cfRule type="expression" dxfId="1168" priority="1">
      <formula>Q8&gt;0</formula>
    </cfRule>
    <cfRule type="expression" dxfId="1167" priority="2">
      <formula>Q8&lt;0</formula>
    </cfRule>
  </conditionalFormatting>
  <conditionalFormatting sqref="Q7">
    <cfRule type="expression" dxfId="1166" priority="3">
      <formula>Q7&gt;0</formula>
    </cfRule>
    <cfRule type="expression" dxfId="1165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130.25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130.25</v>
      </c>
      <c r="R4" s="503">
        <v>-2.6200000000000001E-2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315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11" t="s">
        <v>78</v>
      </c>
      <c r="P46" s="811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143.27500000000001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141.9725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140.67000000000002</v>
      </c>
      <c r="Q49" s="33"/>
      <c r="R49"/>
      <c r="T49" s="85" t="s">
        <v>103</v>
      </c>
      <c r="U49" s="92" t="s">
        <v>640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139.36750000000001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138.065</v>
      </c>
      <c r="Q51" s="81"/>
      <c r="R51"/>
      <c r="T51" s="85" t="s">
        <v>104</v>
      </c>
      <c r="U51" s="127" t="s">
        <v>641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136.76250000000002</v>
      </c>
      <c r="Q52" s="81"/>
      <c r="R52"/>
      <c r="T52" s="85" t="s">
        <v>105</v>
      </c>
      <c r="U52" s="127" t="s">
        <v>517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135.46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134.1575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132.85499999999999</v>
      </c>
      <c r="Q55" s="81"/>
      <c r="R55"/>
      <c r="T55" s="85" t="s">
        <v>107</v>
      </c>
      <c r="U55" s="127" t="s">
        <v>642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131.55250000000001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130.25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128.94749999999999</v>
      </c>
      <c r="Q58" s="81"/>
      <c r="R58"/>
      <c r="T58" s="85" t="s">
        <v>108</v>
      </c>
      <c r="U58" s="127" t="s">
        <v>564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127.645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126.3425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125.03999999999999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123.7375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122.43499999999999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121.13250000000001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119.83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118.5275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117.22500000000001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1164" priority="11">
      <formula>F24&gt;0</formula>
    </cfRule>
    <cfRule type="expression" dxfId="1163" priority="12">
      <formula>F24&lt;0</formula>
    </cfRule>
  </conditionalFormatting>
  <conditionalFormatting sqref="H27:H30">
    <cfRule type="expression" dxfId="1162" priority="9">
      <formula>H27&gt;0</formula>
    </cfRule>
    <cfRule type="expression" dxfId="1161" priority="10">
      <formula>H27&lt;0</formula>
    </cfRule>
  </conditionalFormatting>
  <conditionalFormatting sqref="F25">
    <cfRule type="expression" dxfId="1160" priority="7">
      <formula>F25&gt;0</formula>
    </cfRule>
    <cfRule type="expression" dxfId="1159" priority="8">
      <formula>F25&lt;0</formula>
    </cfRule>
  </conditionalFormatting>
  <conditionalFormatting sqref="H24:H26">
    <cfRule type="expression" dxfId="1158" priority="5">
      <formula>H24&gt;0</formula>
    </cfRule>
    <cfRule type="expression" dxfId="1157" priority="6">
      <formula>H24&lt;0</formula>
    </cfRule>
  </conditionalFormatting>
  <conditionalFormatting sqref="Q7">
    <cfRule type="expression" dxfId="1156" priority="3">
      <formula>Q7&gt;0</formula>
    </cfRule>
    <cfRule type="expression" dxfId="1155" priority="4">
      <formula>Q7&lt;0</formula>
    </cfRule>
  </conditionalFormatting>
  <conditionalFormatting sqref="Q8">
    <cfRule type="expression" dxfId="1154" priority="1">
      <formula>Q8&gt;0</formula>
    </cfRule>
    <cfRule type="expression" dxfId="1153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56.9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56.9</v>
      </c>
      <c r="R4" s="504">
        <v>1.14E-2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270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62.59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62.021000000000001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61.452000000000005</v>
      </c>
      <c r="R42" s="33"/>
      <c r="T42" s="85" t="s">
        <v>99</v>
      </c>
      <c r="U42" s="127" t="s">
        <v>643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60.883000000000003</v>
      </c>
      <c r="R43" s="81"/>
      <c r="T43" s="85" t="s">
        <v>100</v>
      </c>
      <c r="U43" s="127" t="s">
        <v>644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60.314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59.745000000000005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59.176000000000002</v>
      </c>
      <c r="R46" s="81"/>
      <c r="T46" s="85" t="s">
        <v>121</v>
      </c>
      <c r="U46" s="227" t="s">
        <v>433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58.606999999999999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58.037999999999997</v>
      </c>
      <c r="R48" s="81"/>
      <c r="T48" s="85" t="s">
        <v>104</v>
      </c>
      <c r="U48" s="127" t="s">
        <v>645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57.469000000000001</v>
      </c>
      <c r="R49" s="81"/>
      <c r="T49" s="85" t="s">
        <v>105</v>
      </c>
      <c r="U49" s="127" t="s">
        <v>565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56.9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56.330999999999996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55.762</v>
      </c>
      <c r="R52" s="81"/>
      <c r="T52" s="85" t="s">
        <v>107</v>
      </c>
      <c r="U52" s="127" t="s">
        <v>646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55.192999999999998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54.623999999999995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54.054999999999993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53.485999999999997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52.917000000000002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52.347999999999999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51.779000000000003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51.21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1152" priority="17">
      <formula>F28&gt;0</formula>
    </cfRule>
    <cfRule type="expression" dxfId="1151" priority="18">
      <formula>F28&lt;0</formula>
    </cfRule>
  </conditionalFormatting>
  <conditionalFormatting sqref="F28 F33:F35">
    <cfRule type="expression" dxfId="1150" priority="19">
      <formula>F28&gt;0</formula>
    </cfRule>
    <cfRule type="expression" dxfId="1149" priority="20">
      <formula>F28&lt;0</formula>
    </cfRule>
  </conditionalFormatting>
  <conditionalFormatting sqref="H28 H33:H35">
    <cfRule type="expression" dxfId="1148" priority="15">
      <formula>H28&gt;0</formula>
    </cfRule>
    <cfRule type="expression" dxfId="1147" priority="16">
      <formula>H28&lt;0</formula>
    </cfRule>
  </conditionalFormatting>
  <conditionalFormatting sqref="F21:F27">
    <cfRule type="expression" dxfId="1146" priority="13">
      <formula>F21&gt;0</formula>
    </cfRule>
    <cfRule type="expression" dxfId="1145" priority="14">
      <formula>F21&lt;0</formula>
    </cfRule>
  </conditionalFormatting>
  <conditionalFormatting sqref="H21:H27">
    <cfRule type="expression" dxfId="1144" priority="11">
      <formula>H21&gt;0</formula>
    </cfRule>
    <cfRule type="expression" dxfId="1143" priority="12">
      <formula>H21&lt;0</formula>
    </cfRule>
  </conditionalFormatting>
  <conditionalFormatting sqref="Q8">
    <cfRule type="expression" dxfId="1142" priority="7">
      <formula>Q8&gt;0</formula>
    </cfRule>
    <cfRule type="expression" dxfId="1141" priority="8">
      <formula>Q8&lt;0</formula>
    </cfRule>
  </conditionalFormatting>
  <conditionalFormatting sqref="Q7">
    <cfRule type="expression" dxfId="1140" priority="9">
      <formula>Q7&gt;0</formula>
    </cfRule>
    <cfRule type="expression" dxfId="1139" priority="10">
      <formula>Q7&lt;0</formula>
    </cfRule>
  </conditionalFormatting>
  <conditionalFormatting sqref="F29:F32">
    <cfRule type="expression" dxfId="1138" priority="5">
      <formula>F29&gt;0</formula>
    </cfRule>
    <cfRule type="expression" dxfId="1137" priority="6">
      <formula>F29&lt;0</formula>
    </cfRule>
  </conditionalFormatting>
  <conditionalFormatting sqref="H29:H32">
    <cfRule type="expression" dxfId="1136" priority="3">
      <formula>H29&gt;0</formula>
    </cfRule>
    <cfRule type="expression" dxfId="1135" priority="4">
      <formula>H29&lt;0</formula>
    </cfRule>
  </conditionalFormatting>
  <conditionalFormatting sqref="M37">
    <cfRule type="expression" dxfId="1134" priority="1">
      <formula>M37&gt;0</formula>
    </cfRule>
    <cfRule type="expression" dxfId="1133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4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4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5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5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271.64999999999998</v>
      </c>
      <c r="R4" s="486">
        <v>-1.01E-2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13582.499999999998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03">
        <f>Q10+Q8</f>
        <v>487.42999999999847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326.59999999999854</v>
      </c>
    </row>
    <row r="9" spans="1:30" x14ac:dyDescent="0.25">
      <c r="O9" s="11" t="s">
        <v>210</v>
      </c>
      <c r="P9"/>
      <c r="Q9" s="134">
        <f>IF(Q2=0, 0, Q8/Q6)</f>
        <v>2.4638085682601601E-2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1.84E-2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11" t="s">
        <v>78</v>
      </c>
      <c r="Q14" s="811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298.815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296.0985</v>
      </c>
      <c r="R16" s="33"/>
    </row>
    <row r="17" spans="1:30" x14ac:dyDescent="0.25">
      <c r="P17" s="81">
        <v>1.08</v>
      </c>
      <c r="Q17" s="81">
        <f t="shared" si="0"/>
        <v>293.38200000000001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290.66550000000001</v>
      </c>
      <c r="R18" s="81"/>
    </row>
    <row r="19" spans="1:30" x14ac:dyDescent="0.25">
      <c r="P19" s="81">
        <v>1.06</v>
      </c>
      <c r="Q19" s="81">
        <f t="shared" si="0"/>
        <v>287.94900000000001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285.23250000000002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282.51599999999996</v>
      </c>
      <c r="R21" s="81"/>
      <c r="AA21" s="229"/>
      <c r="AD21" s="229"/>
    </row>
    <row r="22" spans="1:30" x14ac:dyDescent="0.25">
      <c r="B22" s="188">
        <v>43136</v>
      </c>
      <c r="C22" s="10">
        <v>50</v>
      </c>
      <c r="D22" s="39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279.79949999999997</v>
      </c>
      <c r="R22" s="81"/>
    </row>
    <row r="23" spans="1:30" x14ac:dyDescent="0.25">
      <c r="B23" s="188">
        <v>43140</v>
      </c>
      <c r="C23" s="7">
        <v>75</v>
      </c>
      <c r="D23" s="43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277.08299999999997</v>
      </c>
      <c r="R23" s="81"/>
      <c r="AA23" s="229"/>
    </row>
    <row r="24" spans="1:30" x14ac:dyDescent="0.25">
      <c r="B24" s="188">
        <v>43140</v>
      </c>
      <c r="C24" s="10">
        <v>50</v>
      </c>
      <c r="D24" s="39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274.36649999999997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271.64999999999998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268.93349999999998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266.21699999999998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263.50049999999999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260.78399999999999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258.06749999999994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255.35099999999997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252.6345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249.91799999999998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247.20149999999998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244.48499999999999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6" t="s">
        <v>113</v>
      </c>
      <c r="C57" s="796" t="s">
        <v>146</v>
      </c>
      <c r="D57" s="797" t="s">
        <v>145</v>
      </c>
      <c r="E57" s="798" t="s">
        <v>147</v>
      </c>
      <c r="F57" s="798" t="s">
        <v>65</v>
      </c>
      <c r="G57" s="799" t="s">
        <v>151</v>
      </c>
      <c r="H57" s="799" t="s">
        <v>88</v>
      </c>
      <c r="I57" s="799" t="s">
        <v>154</v>
      </c>
      <c r="O57" s="2"/>
    </row>
    <row r="58" spans="1:15" x14ac:dyDescent="0.25">
      <c r="B58" s="649">
        <v>42377</v>
      </c>
      <c r="C58" s="648">
        <v>20</v>
      </c>
      <c r="D58" s="650">
        <v>192.9</v>
      </c>
      <c r="E58" s="650">
        <v>191.92</v>
      </c>
      <c r="F58" s="650">
        <f>C58*(E58-D58)</f>
        <v>-19.600000000000364</v>
      </c>
      <c r="G58" s="650">
        <f>D58*C58</f>
        <v>3858</v>
      </c>
      <c r="H58" s="651">
        <f>(E58-D58)/D58</f>
        <v>-5.0803525142561852E-3</v>
      </c>
      <c r="I58" s="650"/>
      <c r="O58" s="2"/>
    </row>
    <row r="59" spans="1:15" x14ac:dyDescent="0.25">
      <c r="B59" s="649">
        <v>42384</v>
      </c>
      <c r="C59" s="648">
        <v>25</v>
      </c>
      <c r="D59" s="650">
        <v>191.678</v>
      </c>
      <c r="E59" s="650">
        <v>187.81</v>
      </c>
      <c r="F59" s="650">
        <f t="shared" ref="F59:F65" si="1">C59*(E59-D59)</f>
        <v>-96.699999999999875</v>
      </c>
      <c r="G59" s="650">
        <f t="shared" ref="G59:G65" si="2">D59*C59</f>
        <v>4791.95</v>
      </c>
      <c r="H59" s="651">
        <f t="shared" ref="H59:H65" si="3">(E59-D59)/D59</f>
        <v>-2.0179676332182071E-2</v>
      </c>
      <c r="I59" s="650"/>
      <c r="O59" s="2"/>
    </row>
    <row r="60" spans="1:15" x14ac:dyDescent="0.25">
      <c r="B60" s="649">
        <v>42398</v>
      </c>
      <c r="C60" s="648">
        <v>5</v>
      </c>
      <c r="D60" s="650">
        <v>189.52</v>
      </c>
      <c r="E60" s="650">
        <v>191.87</v>
      </c>
      <c r="F60" s="650">
        <f t="shared" si="1"/>
        <v>11.749999999999972</v>
      </c>
      <c r="G60" s="650">
        <f t="shared" si="2"/>
        <v>947.6</v>
      </c>
      <c r="H60" s="651">
        <f t="shared" si="3"/>
        <v>1.2399746728577429E-2</v>
      </c>
      <c r="I60" s="650"/>
      <c r="O60" s="2"/>
    </row>
    <row r="61" spans="1:15" x14ac:dyDescent="0.25">
      <c r="B61" s="649">
        <v>42405</v>
      </c>
      <c r="C61" s="648">
        <v>20</v>
      </c>
      <c r="D61" s="650">
        <v>188.23099999999999</v>
      </c>
      <c r="E61" s="650">
        <v>187.8</v>
      </c>
      <c r="F61" s="650">
        <f t="shared" si="1"/>
        <v>-8.6199999999996635</v>
      </c>
      <c r="G61" s="650">
        <f t="shared" si="2"/>
        <v>3764.62</v>
      </c>
      <c r="H61" s="651">
        <f t="shared" si="3"/>
        <v>-2.2897397346876083E-3</v>
      </c>
      <c r="I61" s="650"/>
    </row>
    <row r="62" spans="1:15" x14ac:dyDescent="0.25">
      <c r="B62" s="649">
        <v>42408</v>
      </c>
      <c r="C62" s="648">
        <v>25</v>
      </c>
      <c r="D62" s="650">
        <v>187.29480000000001</v>
      </c>
      <c r="E62" s="650">
        <v>185.42</v>
      </c>
      <c r="F62" s="650">
        <f t="shared" si="1"/>
        <v>-46.870000000000545</v>
      </c>
      <c r="G62" s="650">
        <f t="shared" si="2"/>
        <v>4682.37</v>
      </c>
      <c r="H62" s="651">
        <f t="shared" si="3"/>
        <v>-1.0009888154930204E-2</v>
      </c>
      <c r="I62" s="650"/>
    </row>
    <row r="63" spans="1:15" x14ac:dyDescent="0.25">
      <c r="B63" s="649">
        <v>42416</v>
      </c>
      <c r="C63" s="648">
        <v>15</v>
      </c>
      <c r="D63" s="650">
        <v>185.994</v>
      </c>
      <c r="E63" s="650">
        <v>189.78</v>
      </c>
      <c r="F63" s="650">
        <f t="shared" si="1"/>
        <v>56.79000000000002</v>
      </c>
      <c r="G63" s="650">
        <f t="shared" si="2"/>
        <v>2789.91</v>
      </c>
      <c r="H63" s="651">
        <f t="shared" si="3"/>
        <v>2.0355495338559317E-2</v>
      </c>
      <c r="I63" s="650"/>
    </row>
    <row r="64" spans="1:15" x14ac:dyDescent="0.25">
      <c r="B64" s="649">
        <v>42424</v>
      </c>
      <c r="C64" s="648">
        <v>5</v>
      </c>
      <c r="D64" s="650">
        <v>169.39</v>
      </c>
      <c r="E64" s="650">
        <v>193.2</v>
      </c>
      <c r="F64" s="650">
        <f t="shared" si="1"/>
        <v>119.05000000000001</v>
      </c>
      <c r="G64" s="650">
        <f t="shared" si="2"/>
        <v>846.94999999999993</v>
      </c>
      <c r="H64" s="651">
        <f t="shared" si="3"/>
        <v>0.1405631973552158</v>
      </c>
      <c r="I64" s="650"/>
    </row>
    <row r="65" spans="2:9" x14ac:dyDescent="0.25">
      <c r="B65" s="649">
        <v>42431</v>
      </c>
      <c r="C65" s="648">
        <v>5</v>
      </c>
      <c r="D65" s="650">
        <v>169.39</v>
      </c>
      <c r="E65" s="650">
        <v>199</v>
      </c>
      <c r="F65" s="650">
        <f t="shared" si="1"/>
        <v>148.05000000000007</v>
      </c>
      <c r="G65" s="650">
        <f t="shared" si="2"/>
        <v>846.94999999999993</v>
      </c>
      <c r="H65" s="651">
        <f t="shared" si="3"/>
        <v>0.17480370742074511</v>
      </c>
      <c r="I65" s="650"/>
    </row>
    <row r="66" spans="2:9" x14ac:dyDescent="0.25">
      <c r="B66" s="649">
        <v>42440</v>
      </c>
      <c r="C66" s="648">
        <v>0</v>
      </c>
      <c r="D66" s="650"/>
      <c r="E66" s="650"/>
      <c r="F66" s="650">
        <v>160.83000000000001</v>
      </c>
      <c r="G66" s="650"/>
      <c r="H66" s="651"/>
      <c r="I66" s="650"/>
    </row>
    <row r="67" spans="2:9" x14ac:dyDescent="0.25">
      <c r="B67" s="649"/>
      <c r="C67" s="648"/>
      <c r="D67" s="650"/>
      <c r="E67" s="650"/>
      <c r="F67" s="650"/>
      <c r="G67" s="650"/>
      <c r="H67" s="651"/>
      <c r="I67" s="650"/>
    </row>
    <row r="68" spans="2:9" x14ac:dyDescent="0.25">
      <c r="B68" s="649"/>
      <c r="C68" s="648"/>
      <c r="D68" s="650"/>
      <c r="E68" s="650"/>
      <c r="F68" s="650"/>
      <c r="G68" s="650"/>
      <c r="H68" s="651"/>
      <c r="I68" s="650"/>
    </row>
    <row r="69" spans="2:9" x14ac:dyDescent="0.25">
      <c r="B69" s="649"/>
      <c r="C69" s="648"/>
      <c r="D69" s="650"/>
      <c r="E69" s="650"/>
      <c r="F69" s="650"/>
      <c r="G69" s="650"/>
      <c r="H69" s="651"/>
      <c r="I69" s="650"/>
    </row>
    <row r="70" spans="2:9" x14ac:dyDescent="0.25">
      <c r="B70" s="649"/>
      <c r="C70" s="648"/>
      <c r="D70" s="650"/>
      <c r="E70" s="650"/>
      <c r="F70" s="650"/>
      <c r="G70" s="650"/>
      <c r="H70" s="651"/>
      <c r="I70" s="650"/>
    </row>
    <row r="71" spans="2:9" x14ac:dyDescent="0.25">
      <c r="B71" s="649"/>
      <c r="C71" s="648"/>
      <c r="D71" s="650"/>
      <c r="E71" s="650"/>
      <c r="F71" s="650"/>
      <c r="G71" s="650"/>
      <c r="H71" s="651"/>
      <c r="I71" s="650"/>
    </row>
    <row r="72" spans="2:9" x14ac:dyDescent="0.25">
      <c r="B72" s="649"/>
      <c r="C72" s="648"/>
      <c r="D72" s="650"/>
      <c r="E72" s="650"/>
      <c r="F72" s="650"/>
      <c r="G72" s="650"/>
      <c r="H72" s="651"/>
      <c r="I72" s="650"/>
    </row>
  </sheetData>
  <mergeCells count="1">
    <mergeCell ref="P14:Q14"/>
  </mergeCells>
  <conditionalFormatting sqref="F25:F27">
    <cfRule type="expression" dxfId="1132" priority="33">
      <formula>F25&gt;0</formula>
    </cfRule>
    <cfRule type="expression" dxfId="1131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1130" priority="25">
      <formula>F28&gt;0</formula>
    </cfRule>
    <cfRule type="expression" dxfId="1129" priority="26">
      <formula>F28&lt;0</formula>
    </cfRule>
  </conditionalFormatting>
  <conditionalFormatting sqref="F28:F35">
    <cfRule type="expression" dxfId="1128" priority="27">
      <formula>F28&gt;0</formula>
    </cfRule>
    <cfRule type="expression" dxfId="1127" priority="28">
      <formula>F28&lt;0</formula>
    </cfRule>
  </conditionalFormatting>
  <conditionalFormatting sqref="H25:H35">
    <cfRule type="expression" dxfId="1126" priority="23">
      <formula>H25&gt;0</formula>
    </cfRule>
    <cfRule type="expression" dxfId="1125" priority="24">
      <formula>H25&lt;0</formula>
    </cfRule>
  </conditionalFormatting>
  <conditionalFormatting sqref="F21:F24">
    <cfRule type="expression" dxfId="1124" priority="21">
      <formula>F21&gt;0</formula>
    </cfRule>
    <cfRule type="expression" dxfId="1123" priority="22">
      <formula>F21&lt;0</formula>
    </cfRule>
  </conditionalFormatting>
  <conditionalFormatting sqref="H21:H24">
    <cfRule type="expression" dxfId="1122" priority="19">
      <formula>H21&gt;0</formula>
    </cfRule>
    <cfRule type="expression" dxfId="1121" priority="20">
      <formula>H21&lt;0</formula>
    </cfRule>
  </conditionalFormatting>
  <conditionalFormatting sqref="Q8">
    <cfRule type="expression" dxfId="1120" priority="15">
      <formula>Q8&gt;0</formula>
    </cfRule>
    <cfRule type="expression" dxfId="1119" priority="16">
      <formula>Q8&lt;0</formula>
    </cfRule>
  </conditionalFormatting>
  <conditionalFormatting sqref="Q7">
    <cfRule type="expression" dxfId="1118" priority="17">
      <formula>Q7&gt;0</formula>
    </cfRule>
    <cfRule type="expression" dxfId="1117" priority="18">
      <formula>Q7&lt;0</formula>
    </cfRule>
  </conditionalFormatting>
  <conditionalFormatting sqref="F62:F64">
    <cfRule type="expression" dxfId="1116" priority="13">
      <formula>F62&gt;0</formula>
    </cfRule>
    <cfRule type="expression" dxfId="1115" priority="14">
      <formula>F62&lt;0</formula>
    </cfRule>
  </conditionalFormatting>
  <conditionalFormatting sqref="F65:F72">
    <cfRule type="expression" dxfId="1114" priority="9">
      <formula>F65&gt;0</formula>
    </cfRule>
    <cfRule type="expression" dxfId="1113" priority="10">
      <formula>F65&lt;0</formula>
    </cfRule>
  </conditionalFormatting>
  <conditionalFormatting sqref="F65:F72">
    <cfRule type="expression" dxfId="1112" priority="11">
      <formula>F65&gt;0</formula>
    </cfRule>
    <cfRule type="expression" dxfId="1111" priority="12">
      <formula>F65&lt;0</formula>
    </cfRule>
  </conditionalFormatting>
  <conditionalFormatting sqref="H62:H72">
    <cfRule type="expression" dxfId="1110" priority="7">
      <formula>H62&gt;0</formula>
    </cfRule>
    <cfRule type="expression" dxfId="1109" priority="8">
      <formula>H62&lt;0</formula>
    </cfRule>
  </conditionalFormatting>
  <conditionalFormatting sqref="F58:F61">
    <cfRule type="expression" dxfId="1108" priority="5">
      <formula>F58&gt;0</formula>
    </cfRule>
    <cfRule type="expression" dxfId="1107" priority="6">
      <formula>F58&lt;0</formula>
    </cfRule>
  </conditionalFormatting>
  <conditionalFormatting sqref="H58:H61">
    <cfRule type="expression" dxfId="1106" priority="3">
      <formula>H58&gt;0</formula>
    </cfRule>
    <cfRule type="expression" dxfId="1105" priority="4">
      <formula>H58&lt;0</formula>
    </cfRule>
  </conditionalFormatting>
  <conditionalFormatting sqref="Q10">
    <cfRule type="expression" dxfId="1104" priority="1">
      <formula>Q10&gt;0</formula>
    </cfRule>
    <cfRule type="expression" dxfId="110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109.25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109.25</v>
      </c>
      <c r="R4" s="486">
        <v>-9.4999999999999998E-3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2">
        <v>60</v>
      </c>
      <c r="D23" s="433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2">
        <v>120</v>
      </c>
      <c r="D25" s="446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29">
        <v>60</v>
      </c>
      <c r="D27" s="437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5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120.17500000000001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119.08250000000001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117.99000000000001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116.89750000000001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115.80500000000001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114.71250000000001</v>
      </c>
      <c r="R42" s="81"/>
      <c r="T42" s="85" t="s">
        <v>99</v>
      </c>
      <c r="U42" s="127" t="s">
        <v>647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113.62</v>
      </c>
      <c r="R43" s="81"/>
      <c r="T43" s="85" t="s">
        <v>100</v>
      </c>
      <c r="U43" s="127" t="s">
        <v>648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112.5275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111.435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110.3425</v>
      </c>
      <c r="R46" s="81"/>
      <c r="T46" s="85" t="s">
        <v>121</v>
      </c>
      <c r="U46" s="92" t="s">
        <v>381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109.25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108.1575</v>
      </c>
      <c r="R48" s="81"/>
      <c r="T48" s="85" t="s">
        <v>104</v>
      </c>
      <c r="U48" s="127" t="s">
        <v>649</v>
      </c>
      <c r="W48" s="92">
        <v>42766</v>
      </c>
      <c r="X48" s="10" t="s">
        <v>318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107.065</v>
      </c>
      <c r="R49" s="81"/>
      <c r="T49" s="85" t="s">
        <v>105</v>
      </c>
      <c r="U49" s="127" t="s">
        <v>650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105.9725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104.88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103.78749999999999</v>
      </c>
      <c r="R52" s="81"/>
      <c r="T52" s="85" t="s">
        <v>107</v>
      </c>
      <c r="U52" s="127" t="s">
        <v>651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102.69499999999999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101.60250000000001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100.51</v>
      </c>
      <c r="R55" s="81"/>
      <c r="T55" s="85" t="s">
        <v>108</v>
      </c>
      <c r="U55" s="127" t="s">
        <v>552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99.417500000000004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98.325000000000003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49" t="s">
        <v>194</v>
      </c>
      <c r="B75" s="450"/>
      <c r="C75" s="451">
        <f>SumByColor($A$19,C58:C73)</f>
        <v>0</v>
      </c>
      <c r="D75" s="451"/>
      <c r="E75" s="451"/>
      <c r="F75" s="452">
        <f>SumByColor($A$19,F58:F73)</f>
        <v>0</v>
      </c>
      <c r="G75" s="451"/>
      <c r="H75" s="451">
        <f>SumByColor($A$19,H58:H73)</f>
        <v>0</v>
      </c>
      <c r="I75" s="451"/>
      <c r="J75" s="451"/>
      <c r="K75" s="452">
        <f>SumByColor($A$19,K58:K73)</f>
        <v>0</v>
      </c>
      <c r="L75" s="451"/>
      <c r="M75" s="45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1102" priority="29">
      <formula>F40&gt;0</formula>
    </cfRule>
    <cfRule type="expression" dxfId="1101" priority="30">
      <formula>F40&lt;0</formula>
    </cfRule>
  </conditionalFormatting>
  <conditionalFormatting sqref="F40:F45">
    <cfRule type="expression" dxfId="1100" priority="31">
      <formula>F40&gt;0</formula>
    </cfRule>
    <cfRule type="expression" dxfId="1099" priority="32">
      <formula>F40&lt;0</formula>
    </cfRule>
  </conditionalFormatting>
  <conditionalFormatting sqref="H40:H45">
    <cfRule type="expression" dxfId="1098" priority="27">
      <formula>H40&gt;0</formula>
    </cfRule>
    <cfRule type="expression" dxfId="1097" priority="28">
      <formula>H40&lt;0</formula>
    </cfRule>
  </conditionalFormatting>
  <conditionalFormatting sqref="F23:F39">
    <cfRule type="expression" dxfId="1096" priority="13">
      <formula>F23&gt;0</formula>
    </cfRule>
    <cfRule type="expression" dxfId="1095" priority="14">
      <formula>F23&lt;0</formula>
    </cfRule>
  </conditionalFormatting>
  <conditionalFormatting sqref="H23:H39">
    <cfRule type="expression" dxfId="1094" priority="11">
      <formula>H23&gt;0</formula>
    </cfRule>
    <cfRule type="expression" dxfId="1093" priority="12">
      <formula>H23&lt;0</formula>
    </cfRule>
  </conditionalFormatting>
  <conditionalFormatting sqref="Q7">
    <cfRule type="expression" dxfId="1092" priority="9">
      <formula>Q7&gt;0</formula>
    </cfRule>
    <cfRule type="expression" dxfId="1091" priority="10">
      <formula>Q7&lt;0</formula>
    </cfRule>
  </conditionalFormatting>
  <conditionalFormatting sqref="Q8">
    <cfRule type="expression" dxfId="1090" priority="7">
      <formula>Q8&gt;0</formula>
    </cfRule>
    <cfRule type="expression" dxfId="1089" priority="8">
      <formula>Q8&lt;0</formula>
    </cfRule>
  </conditionalFormatting>
  <conditionalFormatting sqref="Q10">
    <cfRule type="expression" dxfId="1088" priority="1">
      <formula>Q10&gt;0</formula>
    </cfRule>
    <cfRule type="expression" dxfId="1087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77.37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77.37</v>
      </c>
      <c r="R4" s="486">
        <v>-2.5000000000000001E-2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494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6" t="s">
        <v>1</v>
      </c>
      <c r="B37" s="376" t="s">
        <v>2</v>
      </c>
      <c r="C37" s="376" t="s">
        <v>4</v>
      </c>
      <c r="D37" s="377" t="s">
        <v>5</v>
      </c>
      <c r="E37" s="378" t="s">
        <v>94</v>
      </c>
      <c r="F37" s="378" t="s">
        <v>60</v>
      </c>
      <c r="G37" s="376" t="s">
        <v>3</v>
      </c>
      <c r="H37" s="376" t="s">
        <v>6</v>
      </c>
      <c r="I37" s="377" t="s">
        <v>7</v>
      </c>
      <c r="J37" s="378" t="s">
        <v>95</v>
      </c>
      <c r="K37" s="378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9" t="s">
        <v>8</v>
      </c>
      <c r="B38" s="369">
        <v>42375</v>
      </c>
      <c r="C38" s="374">
        <v>40</v>
      </c>
      <c r="D38" s="375">
        <v>52.4</v>
      </c>
      <c r="E38" s="371">
        <v>0</v>
      </c>
      <c r="F38" s="371">
        <f>C38*D38+E38</f>
        <v>2096</v>
      </c>
      <c r="G38" s="369">
        <v>42416</v>
      </c>
      <c r="H38" s="374">
        <v>40</v>
      </c>
      <c r="I38" s="375">
        <v>55.45</v>
      </c>
      <c r="J38" s="371">
        <v>0.05</v>
      </c>
      <c r="K38" s="371">
        <f>H38*I38-J38</f>
        <v>2217.9499999999998</v>
      </c>
      <c r="L38" s="370"/>
      <c r="M38" s="370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0"/>
      <c r="B39" s="369"/>
      <c r="C39" s="374"/>
      <c r="D39" s="375"/>
      <c r="E39" s="371"/>
      <c r="F39" s="371"/>
      <c r="G39" s="369"/>
      <c r="H39" s="374"/>
      <c r="I39" s="375"/>
      <c r="J39" s="371"/>
      <c r="K39" s="371"/>
      <c r="L39" s="370"/>
      <c r="M39" s="370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0"/>
      <c r="B40" s="369"/>
      <c r="C40" s="374"/>
      <c r="D40" s="375"/>
      <c r="E40" s="371"/>
      <c r="F40" s="371"/>
      <c r="G40" s="369"/>
      <c r="H40" s="374"/>
      <c r="I40" s="375"/>
      <c r="J40" s="371"/>
      <c r="K40" s="371"/>
      <c r="L40" s="370"/>
      <c r="M40" s="370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0"/>
      <c r="B41" s="369"/>
      <c r="C41" s="374"/>
      <c r="D41" s="375"/>
      <c r="E41" s="371"/>
      <c r="F41" s="371"/>
      <c r="G41" s="369"/>
      <c r="H41" s="374"/>
      <c r="I41" s="375"/>
      <c r="J41" s="371"/>
      <c r="K41" s="371"/>
      <c r="L41" s="370"/>
      <c r="M41" s="370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0"/>
      <c r="B42" s="369"/>
      <c r="C42" s="374"/>
      <c r="D42" s="375"/>
      <c r="E42" s="371"/>
      <c r="F42" s="371"/>
      <c r="G42" s="369"/>
      <c r="H42" s="374"/>
      <c r="I42" s="375"/>
      <c r="J42" s="371"/>
      <c r="K42" s="371"/>
      <c r="L42" s="370"/>
      <c r="M42" s="370"/>
      <c r="O42" s="363" t="s">
        <v>78</v>
      </c>
      <c r="P42" s="363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0"/>
      <c r="B43" s="369"/>
      <c r="C43" s="374"/>
      <c r="D43" s="375"/>
      <c r="E43" s="371"/>
      <c r="F43" s="371"/>
      <c r="G43" s="369"/>
      <c r="H43" s="374"/>
      <c r="I43" s="375"/>
      <c r="J43" s="371"/>
      <c r="K43" s="371"/>
      <c r="L43" s="370"/>
      <c r="M43" s="370"/>
      <c r="O43" s="81">
        <v>1.1000000000000001</v>
      </c>
      <c r="P43" s="81">
        <f t="shared" ref="P43:P63" si="2">O43*$Q$4</f>
        <v>85.107000000000014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0"/>
      <c r="B44" s="369"/>
      <c r="C44" s="374"/>
      <c r="D44" s="375"/>
      <c r="E44" s="371"/>
      <c r="F44" s="371"/>
      <c r="G44" s="369"/>
      <c r="H44" s="374"/>
      <c r="I44" s="375"/>
      <c r="J44" s="371"/>
      <c r="K44" s="371"/>
      <c r="L44" s="370"/>
      <c r="M44" s="370"/>
      <c r="O44" s="81">
        <v>1.0900000000000001</v>
      </c>
      <c r="P44" s="81">
        <f t="shared" si="2"/>
        <v>84.333300000000008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0"/>
      <c r="B45" s="370"/>
      <c r="C45" s="370"/>
      <c r="D45" s="375"/>
      <c r="E45" s="371"/>
      <c r="F45" s="371"/>
      <c r="G45" s="370"/>
      <c r="H45" s="370"/>
      <c r="I45" s="375"/>
      <c r="J45" s="371"/>
      <c r="K45" s="371"/>
      <c r="L45" s="370"/>
      <c r="M45" s="370"/>
      <c r="O45" s="81">
        <v>1.08</v>
      </c>
      <c r="P45" s="81">
        <f t="shared" si="2"/>
        <v>83.559600000000017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0"/>
      <c r="B46" s="370"/>
      <c r="C46" s="370"/>
      <c r="D46" s="375"/>
      <c r="E46" s="371"/>
      <c r="F46" s="371"/>
      <c r="G46" s="370"/>
      <c r="H46" s="370"/>
      <c r="I46" s="375"/>
      <c r="J46" s="371"/>
      <c r="K46" s="371"/>
      <c r="L46" s="370"/>
      <c r="M46" s="370"/>
      <c r="O46" s="81">
        <v>1.07</v>
      </c>
      <c r="P46" s="81">
        <f t="shared" si="2"/>
        <v>82.785900000000012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0"/>
      <c r="B47" s="370"/>
      <c r="C47" s="370"/>
      <c r="D47" s="375"/>
      <c r="E47" s="371"/>
      <c r="F47" s="371"/>
      <c r="G47" s="370"/>
      <c r="H47" s="370"/>
      <c r="I47" s="375"/>
      <c r="J47" s="371"/>
      <c r="K47" s="371"/>
      <c r="L47" s="370"/>
      <c r="M47" s="370"/>
      <c r="O47" s="81">
        <v>1.06</v>
      </c>
      <c r="P47" s="81">
        <f t="shared" si="2"/>
        <v>82.012200000000007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0"/>
      <c r="B48" s="370"/>
      <c r="C48" s="370"/>
      <c r="D48" s="375"/>
      <c r="E48" s="371"/>
      <c r="F48" s="371"/>
      <c r="G48" s="370"/>
      <c r="H48" s="370"/>
      <c r="I48" s="375"/>
      <c r="J48" s="371"/>
      <c r="K48" s="371"/>
      <c r="L48" s="370"/>
      <c r="M48" s="370"/>
      <c r="O48" s="81">
        <v>1.05</v>
      </c>
      <c r="P48" s="81">
        <f t="shared" si="2"/>
        <v>81.238500000000002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0"/>
      <c r="B49" s="370"/>
      <c r="C49" s="370"/>
      <c r="D49" s="375"/>
      <c r="E49" s="371"/>
      <c r="F49" s="371"/>
      <c r="G49" s="370"/>
      <c r="H49" s="370"/>
      <c r="I49" s="375"/>
      <c r="J49" s="371"/>
      <c r="K49" s="371"/>
      <c r="L49" s="370"/>
      <c r="M49" s="370"/>
      <c r="O49" s="81">
        <v>1.04</v>
      </c>
      <c r="P49" s="81">
        <f t="shared" si="2"/>
        <v>80.464800000000011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0"/>
      <c r="B50" s="370"/>
      <c r="C50" s="370"/>
      <c r="D50" s="375"/>
      <c r="E50" s="371"/>
      <c r="F50" s="371"/>
      <c r="G50" s="370"/>
      <c r="H50" s="370"/>
      <c r="I50" s="375"/>
      <c r="J50" s="371"/>
      <c r="K50" s="371"/>
      <c r="L50" s="370"/>
      <c r="M50" s="370"/>
      <c r="O50" s="81">
        <v>1.03</v>
      </c>
      <c r="P50" s="81">
        <f t="shared" si="2"/>
        <v>79.691100000000006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0"/>
      <c r="B51" s="370"/>
      <c r="C51" s="370"/>
      <c r="D51" s="375"/>
      <c r="E51" s="371"/>
      <c r="F51" s="371"/>
      <c r="G51" s="370"/>
      <c r="H51" s="370"/>
      <c r="I51" s="375"/>
      <c r="J51" s="371"/>
      <c r="K51" s="371"/>
      <c r="L51" s="370"/>
      <c r="M51" s="370"/>
      <c r="O51" s="81">
        <v>1.02</v>
      </c>
      <c r="P51" s="81">
        <f t="shared" si="2"/>
        <v>78.917400000000001</v>
      </c>
      <c r="Q51" s="2"/>
      <c r="T51" s="106" t="s">
        <v>104</v>
      </c>
      <c r="U51" s="104" t="s">
        <v>652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0"/>
      <c r="B52" s="370"/>
      <c r="C52" s="370"/>
      <c r="D52" s="375"/>
      <c r="E52" s="371"/>
      <c r="F52" s="371"/>
      <c r="G52" s="370"/>
      <c r="H52" s="370"/>
      <c r="I52" s="375"/>
      <c r="J52" s="371"/>
      <c r="K52" s="371"/>
      <c r="L52" s="370"/>
      <c r="M52" s="370"/>
      <c r="O52" s="81">
        <v>1.01</v>
      </c>
      <c r="P52" s="81">
        <f t="shared" si="2"/>
        <v>78.14370000000001</v>
      </c>
      <c r="Q52" s="2"/>
      <c r="T52" s="106" t="s">
        <v>105</v>
      </c>
      <c r="U52" s="104" t="s">
        <v>653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0"/>
      <c r="B53" s="370"/>
      <c r="C53" s="370"/>
      <c r="D53" s="375"/>
      <c r="E53" s="371"/>
      <c r="F53" s="371"/>
      <c r="G53" s="370"/>
      <c r="H53" s="370"/>
      <c r="I53" s="375"/>
      <c r="J53" s="371"/>
      <c r="K53" s="371"/>
      <c r="L53" s="370"/>
      <c r="M53" s="370"/>
      <c r="O53" s="81">
        <v>1</v>
      </c>
      <c r="P53" s="81">
        <f t="shared" si="2"/>
        <v>77.37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76.596299999999999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75.822600000000008</v>
      </c>
      <c r="T55" s="106" t="s">
        <v>107</v>
      </c>
      <c r="U55" s="104" t="s">
        <v>654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75.048900000000003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74.275199999999998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73.501500000000007</v>
      </c>
      <c r="T58" s="106" t="s">
        <v>108</v>
      </c>
      <c r="U58" s="104" t="s">
        <v>535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72.727800000000002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71.954100000000011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71.180400000000006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70.406700000000001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69.63300000000001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1086" priority="39">
      <formula>Q12&gt;0</formula>
    </cfRule>
    <cfRule type="expression" dxfId="1085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084" priority="33">
      <formula>F25&gt;0</formula>
    </cfRule>
    <cfRule type="expression" dxfId="1083" priority="34">
      <formula>F25&lt;0</formula>
    </cfRule>
  </conditionalFormatting>
  <conditionalFormatting sqref="F30">
    <cfRule type="expression" dxfId="1082" priority="31">
      <formula>F30&gt;0</formula>
    </cfRule>
    <cfRule type="expression" dxfId="1081" priority="32">
      <formula>F30&lt;0</formula>
    </cfRule>
  </conditionalFormatting>
  <conditionalFormatting sqref="F31">
    <cfRule type="expression" dxfId="1080" priority="29">
      <formula>F31&gt;0</formula>
    </cfRule>
    <cfRule type="expression" dxfId="1079" priority="30">
      <formula>F31&lt;0</formula>
    </cfRule>
  </conditionalFormatting>
  <conditionalFormatting sqref="F32:F34">
    <cfRule type="expression" dxfId="1078" priority="27">
      <formula>F32&gt;0</formula>
    </cfRule>
    <cfRule type="expression" dxfId="1077" priority="28">
      <formula>F32&lt;0</formula>
    </cfRule>
  </conditionalFormatting>
  <conditionalFormatting sqref="H25:H29">
    <cfRule type="expression" dxfId="1076" priority="25">
      <formula>H25&gt;0</formula>
    </cfRule>
    <cfRule type="expression" dxfId="1075" priority="26">
      <formula>H25&lt;0</formula>
    </cfRule>
  </conditionalFormatting>
  <conditionalFormatting sqref="H30">
    <cfRule type="expression" dxfId="1074" priority="23">
      <formula>H30&gt;0</formula>
    </cfRule>
    <cfRule type="expression" dxfId="1073" priority="24">
      <formula>H30&lt;0</formula>
    </cfRule>
  </conditionalFormatting>
  <conditionalFormatting sqref="H31">
    <cfRule type="expression" dxfId="1072" priority="21">
      <formula>H31&gt;0</formula>
    </cfRule>
    <cfRule type="expression" dxfId="1071" priority="22">
      <formula>H31&lt;0</formula>
    </cfRule>
  </conditionalFormatting>
  <conditionalFormatting sqref="H32:H34">
    <cfRule type="expression" dxfId="1070" priority="19">
      <formula>H32&gt;0</formula>
    </cfRule>
    <cfRule type="expression" dxfId="1069" priority="20">
      <formula>H32&lt;0</formula>
    </cfRule>
  </conditionalFormatting>
  <conditionalFormatting sqref="F35">
    <cfRule type="expression" dxfId="1068" priority="17">
      <formula>F35&gt;0</formula>
    </cfRule>
    <cfRule type="expression" dxfId="1067" priority="18">
      <formula>F35&lt;0</formula>
    </cfRule>
  </conditionalFormatting>
  <conditionalFormatting sqref="H35">
    <cfRule type="expression" dxfId="1066" priority="15">
      <formula>H35&gt;0</formula>
    </cfRule>
    <cfRule type="expression" dxfId="1065" priority="16">
      <formula>H35&lt;0</formula>
    </cfRule>
  </conditionalFormatting>
  <conditionalFormatting sqref="F36">
    <cfRule type="expression" dxfId="1064" priority="13">
      <formula>F36&gt;0</formula>
    </cfRule>
    <cfRule type="expression" dxfId="1063" priority="14">
      <formula>F36&lt;0</formula>
    </cfRule>
  </conditionalFormatting>
  <conditionalFormatting sqref="H36">
    <cfRule type="expression" dxfId="1062" priority="11">
      <formula>H36&gt;0</formula>
    </cfRule>
    <cfRule type="expression" dxfId="1061" priority="12">
      <formula>H36&lt;0</formula>
    </cfRule>
  </conditionalFormatting>
  <conditionalFormatting sqref="H23:H24">
    <cfRule type="expression" dxfId="1060" priority="5">
      <formula>H23&gt;0</formula>
    </cfRule>
    <cfRule type="expression" dxfId="1059" priority="6">
      <formula>H23&lt;0</formula>
    </cfRule>
  </conditionalFormatting>
  <conditionalFormatting sqref="F23:F24">
    <cfRule type="expression" dxfId="1058" priority="7">
      <formula>F23&gt;0</formula>
    </cfRule>
    <cfRule type="expression" dxfId="1057" priority="8">
      <formula>F23&lt;0</formula>
    </cfRule>
  </conditionalFormatting>
  <conditionalFormatting sqref="Q7">
    <cfRule type="expression" dxfId="1056" priority="3">
      <formula>Q7&gt;0</formula>
    </cfRule>
    <cfRule type="expression" dxfId="1055" priority="4">
      <formula>Q7&lt;0</formula>
    </cfRule>
  </conditionalFormatting>
  <conditionalFormatting sqref="Q8">
    <cfRule type="expression" dxfId="1054" priority="1">
      <formula>Q8&gt;0</formula>
    </cfRule>
    <cfRule type="expression" dxfId="1053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4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5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58.41</v>
      </c>
      <c r="R4" s="486">
        <v>-1.38E-2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2"/>
      <c r="I5" s="73"/>
      <c r="J5" s="73"/>
      <c r="K5" s="3"/>
      <c r="L5" s="4"/>
      <c r="M5" s="4"/>
      <c r="O5" s="11" t="s">
        <v>67</v>
      </c>
      <c r="Q5" s="3">
        <f>Q4*Q2</f>
        <v>7009.2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2247.7300000000014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643.14999999999964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0.10102811005254429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2.6707755521314845E-2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708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816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905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11" t="s">
        <v>78</v>
      </c>
      <c r="Q39" s="811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64.251000000000005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63.666899999999998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63.082799999999999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62.498699999999999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61.9146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61.330500000000001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60.746400000000001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60.162299999999995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59.578199999999995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58.994099999999996</v>
      </c>
      <c r="R49" s="81"/>
      <c r="T49" s="85" t="s">
        <v>103</v>
      </c>
      <c r="U49" s="87" t="s">
        <v>339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58.41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57.825899999999997</v>
      </c>
      <c r="R51" s="81"/>
      <c r="T51" s="85" t="s">
        <v>104</v>
      </c>
      <c r="U51" s="86" t="s">
        <v>655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57.241799999999998</v>
      </c>
      <c r="R52" s="81"/>
      <c r="T52" s="85" t="s">
        <v>105</v>
      </c>
      <c r="U52" s="86" t="s">
        <v>489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56.657699999999998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56.073599999999992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0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55.489499999999992</v>
      </c>
      <c r="R55" s="81"/>
      <c r="T55" s="85" t="s">
        <v>107</v>
      </c>
      <c r="U55" s="86" t="s">
        <v>656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54.905399999999993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54.321300000000001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53.737200000000001</v>
      </c>
      <c r="R58" s="81"/>
      <c r="T58" s="85" t="s">
        <v>108</v>
      </c>
      <c r="U58" s="86" t="s">
        <v>566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53.153100000000002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52.568999999999996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0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4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4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4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5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4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4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4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4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4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4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4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4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4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4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4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4">
        <v>43006</v>
      </c>
      <c r="H74" s="742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4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4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4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49" t="s">
        <v>194</v>
      </c>
      <c r="B92" s="450"/>
      <c r="C92" s="451">
        <f>SumByColor($A$19,C52:C90)</f>
        <v>480</v>
      </c>
      <c r="D92" s="451"/>
      <c r="E92" s="451"/>
      <c r="F92" s="452">
        <f>SumByColor($A$19,F52:F90)</f>
        <v>25980</v>
      </c>
      <c r="G92" s="451"/>
      <c r="H92" s="451">
        <f>SumByColor($A$19,H52:H90)</f>
        <v>480</v>
      </c>
      <c r="I92" s="451"/>
      <c r="J92" s="451"/>
      <c r="K92" s="452">
        <f>SumByColor($A$19,K52:K90)</f>
        <v>26619</v>
      </c>
      <c r="L92" s="451"/>
      <c r="M92" s="452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52" priority="55">
      <formula>Q8&gt;0</formula>
    </cfRule>
    <cfRule type="expression" dxfId="1051" priority="56">
      <formula>Q8&lt;0</formula>
    </cfRule>
  </conditionalFormatting>
  <conditionalFormatting sqref="Q7">
    <cfRule type="expression" dxfId="1050" priority="57">
      <formula>Q7&gt;0</formula>
    </cfRule>
    <cfRule type="expression" dxfId="1049" priority="58">
      <formula>Q7&lt;0</formula>
    </cfRule>
  </conditionalFormatting>
  <conditionalFormatting sqref="M50">
    <cfRule type="expression" dxfId="1048" priority="45">
      <formula>M50&gt;0</formula>
    </cfRule>
    <cfRule type="expression" dxfId="1047" priority="46">
      <formula>M50&lt;0</formula>
    </cfRule>
  </conditionalFormatting>
  <conditionalFormatting sqref="M50">
    <cfRule type="expression" dxfId="1046" priority="47">
      <formula>M50&gt;0</formula>
    </cfRule>
    <cfRule type="expression" dxfId="1045" priority="48">
      <formula>M50&lt;0</formula>
    </cfRule>
  </conditionalFormatting>
  <conditionalFormatting sqref="F24:F31">
    <cfRule type="expression" dxfId="1044" priority="33">
      <formula>F24&gt;0</formula>
    </cfRule>
    <cfRule type="expression" dxfId="1043" priority="34">
      <formula>F24&lt;0</formula>
    </cfRule>
  </conditionalFormatting>
  <conditionalFormatting sqref="F24:F31">
    <cfRule type="expression" dxfId="1042" priority="35">
      <formula>F24&gt;0</formula>
    </cfRule>
    <cfRule type="expression" dxfId="1041" priority="36">
      <formula>F24&lt;0</formula>
    </cfRule>
  </conditionalFormatting>
  <conditionalFormatting sqref="H24:H31">
    <cfRule type="expression" dxfId="1040" priority="31">
      <formula>H24&gt;0</formula>
    </cfRule>
    <cfRule type="expression" dxfId="1039" priority="32">
      <formula>H24&lt;0</formula>
    </cfRule>
  </conditionalFormatting>
  <conditionalFormatting sqref="J27:J34">
    <cfRule type="expression" dxfId="1038" priority="1">
      <formula>J27&gt;0</formula>
    </cfRule>
    <cfRule type="expression" dxfId="1037" priority="2">
      <formula>J27&lt;0</formula>
    </cfRule>
  </conditionalFormatting>
  <conditionalFormatting sqref="J27:J34">
    <cfRule type="expression" dxfId="1036" priority="3">
      <formula>J27&gt;0</formula>
    </cfRule>
    <cfRule type="expression" dxfId="1035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44.97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44.97</v>
      </c>
      <c r="R4" s="486">
        <v>-2.7E-2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11" t="s">
        <v>78</v>
      </c>
      <c r="Q39" s="811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49.467000000000006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49.017300000000006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48.567599999999999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48.117899999999999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47.668199999999999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47.218499999999999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46.768799999999999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46.319099999999999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45.869399999999999</v>
      </c>
      <c r="R48" s="81"/>
      <c r="T48" s="85" t="s">
        <v>104</v>
      </c>
      <c r="U48" s="86" t="s">
        <v>657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45.419699999999999</v>
      </c>
      <c r="R49" s="81"/>
      <c r="T49" s="85" t="s">
        <v>105</v>
      </c>
      <c r="U49" s="86" t="s">
        <v>437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44.97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44.520299999999999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44.070599999999999</v>
      </c>
      <c r="R52" s="81"/>
      <c r="T52" s="85" t="s">
        <v>107</v>
      </c>
      <c r="U52" s="86" t="s">
        <v>658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43.620899999999999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43.171199999999999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42.721499999999999</v>
      </c>
      <c r="R55" s="81"/>
      <c r="T55" s="85" t="s">
        <v>108</v>
      </c>
      <c r="U55" s="86" t="s">
        <v>525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42.271799999999999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41.822099999999999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41.372399999999999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40.922699999999999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40.472999999999999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0"/>
      <c r="B81" s="370"/>
      <c r="C81" s="370"/>
      <c r="D81" s="371"/>
      <c r="E81" s="371"/>
      <c r="F81" s="371"/>
      <c r="G81" s="370"/>
      <c r="H81" s="370"/>
      <c r="I81" s="371"/>
      <c r="J81" s="371"/>
      <c r="K81" s="371"/>
      <c r="L81" s="370"/>
      <c r="M81" s="370"/>
      <c r="N81" s="370"/>
    </row>
    <row r="82" spans="1:14" x14ac:dyDescent="0.25">
      <c r="A82" s="370"/>
      <c r="B82" s="369">
        <v>42545</v>
      </c>
      <c r="C82" s="370">
        <v>250</v>
      </c>
      <c r="D82" s="371">
        <v>9.36</v>
      </c>
      <c r="E82" s="371">
        <v>0</v>
      </c>
      <c r="F82" s="371">
        <f>D82*C82+E82</f>
        <v>2340</v>
      </c>
      <c r="G82" s="370">
        <v>42577</v>
      </c>
      <c r="H82" s="374">
        <v>150</v>
      </c>
      <c r="I82" s="371">
        <v>10.58</v>
      </c>
      <c r="J82" s="371">
        <v>0.03</v>
      </c>
      <c r="K82" s="371">
        <f>H82*I82-J82</f>
        <v>1586.97</v>
      </c>
      <c r="L82" s="370"/>
      <c r="M82" s="370"/>
      <c r="N82" s="370"/>
    </row>
    <row r="83" spans="1:14" x14ac:dyDescent="0.25">
      <c r="A83" s="370"/>
      <c r="B83" s="369"/>
      <c r="C83" s="370"/>
      <c r="D83" s="371"/>
      <c r="E83" s="371"/>
      <c r="F83" s="371"/>
      <c r="G83" s="370">
        <v>42577</v>
      </c>
      <c r="H83" s="374">
        <v>100</v>
      </c>
      <c r="I83" s="371">
        <v>10.65</v>
      </c>
      <c r="J83" s="371">
        <v>0.02</v>
      </c>
      <c r="K83" s="371">
        <f>H83*I83-J83</f>
        <v>1064.98</v>
      </c>
      <c r="L83" s="370"/>
      <c r="M83" s="370"/>
      <c r="N83" s="370"/>
    </row>
    <row r="84" spans="1:14" x14ac:dyDescent="0.25">
      <c r="A84" s="370"/>
      <c r="B84" s="370"/>
      <c r="C84" s="370"/>
      <c r="D84" s="371"/>
      <c r="E84" s="371"/>
      <c r="F84" s="371"/>
      <c r="G84" s="370"/>
      <c r="H84" s="370"/>
      <c r="I84" s="371"/>
      <c r="J84" s="371"/>
      <c r="K84" s="371"/>
      <c r="L84" s="370"/>
      <c r="M84" s="370"/>
      <c r="N84" s="370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0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0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0"/>
    </row>
    <row r="116" spans="1:14" x14ac:dyDescent="0.25">
      <c r="A116" s="370"/>
      <c r="B116" s="369"/>
      <c r="C116" s="370"/>
      <c r="D116" s="371"/>
      <c r="E116" s="371"/>
      <c r="F116" s="371"/>
      <c r="G116" s="371"/>
      <c r="H116" s="372"/>
      <c r="I116" s="371"/>
      <c r="J116" s="371"/>
      <c r="K116" s="371"/>
      <c r="L116" s="370"/>
      <c r="M116" s="370"/>
      <c r="N116" s="370"/>
    </row>
    <row r="117" spans="1:14" x14ac:dyDescent="0.25">
      <c r="A117" s="370"/>
      <c r="B117" s="369">
        <v>42545</v>
      </c>
      <c r="C117" s="370">
        <v>250</v>
      </c>
      <c r="D117" s="371">
        <v>9.36</v>
      </c>
      <c r="E117" s="371">
        <v>9.3800000000000008</v>
      </c>
      <c r="F117" s="371">
        <f t="shared" ref="F117:F127" si="12">C117*(E117-D117)</f>
        <v>5.0000000000003375</v>
      </c>
      <c r="G117" s="371">
        <f t="shared" ref="G117:G127" si="13">D117*C117</f>
        <v>2340</v>
      </c>
      <c r="H117" s="372">
        <f t="shared" ref="H117:H127" si="14">(E117-D117)/D117</f>
        <v>2.1367521367522809E-3</v>
      </c>
      <c r="I117" s="371"/>
      <c r="J117" s="371"/>
      <c r="K117" s="371"/>
      <c r="L117" s="370"/>
      <c r="M117" s="370"/>
      <c r="N117" s="370"/>
    </row>
    <row r="118" spans="1:14" x14ac:dyDescent="0.25">
      <c r="A118" s="370"/>
      <c r="B118" s="369">
        <v>42548</v>
      </c>
      <c r="C118" s="370">
        <v>250</v>
      </c>
      <c r="D118" s="371">
        <v>9.36</v>
      </c>
      <c r="E118" s="371">
        <v>9.1</v>
      </c>
      <c r="F118" s="371">
        <f t="shared" si="12"/>
        <v>-64.999999999999943</v>
      </c>
      <c r="G118" s="371">
        <f t="shared" si="13"/>
        <v>2340</v>
      </c>
      <c r="H118" s="372">
        <f t="shared" si="14"/>
        <v>-2.7777777777777755E-2</v>
      </c>
      <c r="I118" s="371"/>
      <c r="J118" s="371"/>
      <c r="K118" s="371"/>
      <c r="L118" s="370"/>
      <c r="M118" s="370"/>
      <c r="N118" s="370"/>
    </row>
    <row r="119" spans="1:14" x14ac:dyDescent="0.25">
      <c r="A119" s="370"/>
      <c r="B119" s="369">
        <v>42549</v>
      </c>
      <c r="C119" s="370">
        <v>250</v>
      </c>
      <c r="D119" s="371">
        <v>9.36</v>
      </c>
      <c r="E119" s="371">
        <v>9.33</v>
      </c>
      <c r="F119" s="371">
        <f t="shared" si="12"/>
        <v>-7.4999999999998401</v>
      </c>
      <c r="G119" s="371">
        <f t="shared" si="13"/>
        <v>2340</v>
      </c>
      <c r="H119" s="372">
        <f t="shared" si="14"/>
        <v>-3.2051282051281369E-3</v>
      </c>
      <c r="I119" s="371"/>
      <c r="J119" s="371"/>
      <c r="K119" s="371"/>
      <c r="L119" s="370"/>
      <c r="M119" s="370"/>
      <c r="N119" s="370"/>
    </row>
    <row r="120" spans="1:14" x14ac:dyDescent="0.25">
      <c r="A120" s="370"/>
      <c r="B120" s="369">
        <v>42550</v>
      </c>
      <c r="C120" s="370">
        <v>250</v>
      </c>
      <c r="D120" s="371">
        <v>9.36</v>
      </c>
      <c r="E120" s="371">
        <v>9.1</v>
      </c>
      <c r="F120" s="371">
        <f t="shared" si="12"/>
        <v>-64.999999999999943</v>
      </c>
      <c r="G120" s="371">
        <f t="shared" si="13"/>
        <v>2340</v>
      </c>
      <c r="H120" s="372">
        <f t="shared" si="14"/>
        <v>-2.7777777777777755E-2</v>
      </c>
      <c r="I120" s="371"/>
      <c r="J120" s="371"/>
      <c r="K120" s="371"/>
      <c r="L120" s="370"/>
      <c r="M120" s="370"/>
      <c r="N120" s="370"/>
    </row>
    <row r="121" spans="1:14" x14ac:dyDescent="0.25">
      <c r="A121" s="370"/>
      <c r="B121" s="369">
        <v>42552</v>
      </c>
      <c r="C121" s="370">
        <v>250</v>
      </c>
      <c r="D121" s="371">
        <v>9.36</v>
      </c>
      <c r="E121" s="371">
        <v>9.5500000000000007</v>
      </c>
      <c r="F121" s="371">
        <f t="shared" si="12"/>
        <v>47.50000000000032</v>
      </c>
      <c r="G121" s="371">
        <f t="shared" si="13"/>
        <v>2340</v>
      </c>
      <c r="H121" s="372">
        <f t="shared" si="14"/>
        <v>2.0299145299145439E-2</v>
      </c>
      <c r="I121" s="371"/>
      <c r="J121" s="371"/>
      <c r="K121" s="371"/>
      <c r="L121" s="370"/>
      <c r="M121" s="370"/>
      <c r="N121" s="370"/>
    </row>
    <row r="122" spans="1:14" x14ac:dyDescent="0.25">
      <c r="A122" s="370"/>
      <c r="B122" s="369">
        <v>42556</v>
      </c>
      <c r="C122" s="370">
        <v>250</v>
      </c>
      <c r="D122" s="371">
        <v>9.36</v>
      </c>
      <c r="E122" s="371">
        <v>9.26</v>
      </c>
      <c r="F122" s="371">
        <f t="shared" si="12"/>
        <v>-24.999999999999911</v>
      </c>
      <c r="G122" s="371">
        <f t="shared" si="13"/>
        <v>2340</v>
      </c>
      <c r="H122" s="372">
        <f t="shared" si="14"/>
        <v>-1.0683760683760646E-2</v>
      </c>
      <c r="I122" s="371"/>
      <c r="J122" s="371"/>
      <c r="K122" s="371"/>
      <c r="L122" s="370"/>
      <c r="M122" s="370"/>
      <c r="N122" s="370"/>
    </row>
    <row r="123" spans="1:14" x14ac:dyDescent="0.25">
      <c r="A123" s="370"/>
      <c r="B123" s="369">
        <v>42557</v>
      </c>
      <c r="C123" s="370">
        <v>250</v>
      </c>
      <c r="D123" s="371">
        <v>9.36</v>
      </c>
      <c r="E123" s="371">
        <v>9.19</v>
      </c>
      <c r="F123" s="371">
        <f t="shared" si="12"/>
        <v>-42.499999999999986</v>
      </c>
      <c r="G123" s="371">
        <f t="shared" si="13"/>
        <v>2340</v>
      </c>
      <c r="H123" s="372">
        <f t="shared" si="14"/>
        <v>-1.8162393162393157E-2</v>
      </c>
      <c r="I123" s="371"/>
      <c r="J123" s="371"/>
      <c r="K123" s="371"/>
      <c r="L123" s="370"/>
      <c r="M123" s="370"/>
      <c r="N123" s="370"/>
    </row>
    <row r="124" spans="1:14" x14ac:dyDescent="0.25">
      <c r="A124" s="370"/>
      <c r="B124" s="369">
        <v>42559</v>
      </c>
      <c r="C124" s="370">
        <v>250</v>
      </c>
      <c r="D124" s="371">
        <v>9.36</v>
      </c>
      <c r="E124" s="371">
        <v>9.82</v>
      </c>
      <c r="F124" s="371">
        <f t="shared" si="12"/>
        <v>115.00000000000021</v>
      </c>
      <c r="G124" s="371">
        <f t="shared" si="13"/>
        <v>2340</v>
      </c>
      <c r="H124" s="372">
        <f t="shared" si="14"/>
        <v>4.9145299145299241E-2</v>
      </c>
      <c r="I124" s="371"/>
      <c r="J124" s="371"/>
      <c r="K124" s="371"/>
      <c r="L124" s="370"/>
      <c r="M124" s="370"/>
      <c r="N124" s="370"/>
    </row>
    <row r="125" spans="1:14" x14ac:dyDescent="0.25">
      <c r="A125" s="370"/>
      <c r="B125" s="369">
        <v>42562</v>
      </c>
      <c r="C125" s="370">
        <v>250</v>
      </c>
      <c r="D125" s="371">
        <v>9.36</v>
      </c>
      <c r="E125" s="371">
        <v>10.14</v>
      </c>
      <c r="F125" s="371">
        <f t="shared" si="12"/>
        <v>195.00000000000028</v>
      </c>
      <c r="G125" s="371">
        <f t="shared" si="13"/>
        <v>2340</v>
      </c>
      <c r="H125" s="372">
        <f t="shared" si="14"/>
        <v>8.3333333333333454E-2</v>
      </c>
      <c r="I125" s="371" t="s">
        <v>233</v>
      </c>
      <c r="J125" s="371"/>
      <c r="K125" s="371"/>
      <c r="L125" s="370"/>
      <c r="M125" s="370"/>
      <c r="N125" s="370"/>
    </row>
    <row r="126" spans="1:14" x14ac:dyDescent="0.25">
      <c r="A126" s="370"/>
      <c r="B126" s="369">
        <v>42566</v>
      </c>
      <c r="C126" s="370">
        <v>250</v>
      </c>
      <c r="D126" s="371">
        <v>9.36</v>
      </c>
      <c r="E126" s="371">
        <v>10.92</v>
      </c>
      <c r="F126" s="371">
        <f t="shared" si="12"/>
        <v>390.00000000000011</v>
      </c>
      <c r="G126" s="371">
        <f t="shared" si="13"/>
        <v>2340</v>
      </c>
      <c r="H126" s="372">
        <f t="shared" si="14"/>
        <v>0.16666666666666674</v>
      </c>
      <c r="I126" s="453">
        <v>8.8000000000000007</v>
      </c>
      <c r="J126" s="371"/>
      <c r="K126" s="371"/>
      <c r="L126" s="370"/>
      <c r="M126" s="370"/>
      <c r="N126" s="370"/>
    </row>
    <row r="127" spans="1:14" x14ac:dyDescent="0.25">
      <c r="A127" s="370"/>
      <c r="B127" s="369">
        <v>42570</v>
      </c>
      <c r="C127" s="370">
        <v>250</v>
      </c>
      <c r="D127" s="371">
        <v>9.36</v>
      </c>
      <c r="E127" s="371">
        <v>10.63</v>
      </c>
      <c r="F127" s="371">
        <f t="shared" si="12"/>
        <v>317.50000000000034</v>
      </c>
      <c r="G127" s="371">
        <f t="shared" si="13"/>
        <v>2340</v>
      </c>
      <c r="H127" s="372">
        <f t="shared" si="14"/>
        <v>0.13568376068376084</v>
      </c>
      <c r="I127" s="371"/>
      <c r="J127" s="371"/>
      <c r="K127" s="371"/>
      <c r="L127" s="370"/>
      <c r="M127" s="370"/>
      <c r="N127" s="370"/>
    </row>
    <row r="128" spans="1:14" x14ac:dyDescent="0.25">
      <c r="A128" s="370"/>
      <c r="B128" s="369">
        <v>42577</v>
      </c>
      <c r="C128" s="370">
        <v>0</v>
      </c>
      <c r="D128" s="371"/>
      <c r="E128" s="371"/>
      <c r="F128" s="371">
        <v>311.95</v>
      </c>
      <c r="G128" s="371"/>
      <c r="H128" s="372"/>
      <c r="I128" s="371"/>
      <c r="J128" s="371"/>
      <c r="K128" s="371"/>
      <c r="L128" s="370"/>
      <c r="M128" s="370"/>
    </row>
    <row r="129" spans="1:13" x14ac:dyDescent="0.25">
      <c r="A129" s="370"/>
      <c r="B129" s="369"/>
      <c r="C129" s="370"/>
      <c r="D129" s="371"/>
      <c r="E129" s="371"/>
      <c r="F129" s="371"/>
      <c r="G129" s="371"/>
      <c r="H129" s="372"/>
      <c r="I129" s="371"/>
      <c r="J129" s="371"/>
      <c r="K129" s="371"/>
      <c r="L129" s="370"/>
      <c r="M129" s="370"/>
    </row>
    <row r="130" spans="1:13" x14ac:dyDescent="0.25">
      <c r="A130" s="370"/>
      <c r="B130" s="369"/>
      <c r="C130" s="370"/>
      <c r="D130" s="371"/>
      <c r="E130" s="371"/>
      <c r="F130" s="371"/>
      <c r="G130" s="371"/>
      <c r="H130" s="372"/>
      <c r="I130" s="371"/>
      <c r="J130" s="371"/>
      <c r="K130" s="371"/>
      <c r="L130" s="370"/>
      <c r="M130" s="370"/>
    </row>
  </sheetData>
  <mergeCells count="1">
    <mergeCell ref="P39:Q39"/>
  </mergeCells>
  <conditionalFormatting sqref="F22:F39 H22:H39">
    <cfRule type="expression" dxfId="1034" priority="66">
      <formula>F22&gt;0</formula>
    </cfRule>
    <cfRule type="expression" dxfId="1033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1032" priority="53">
      <formula>F41&gt;0</formula>
    </cfRule>
    <cfRule type="expression" dxfId="1031" priority="54">
      <formula>F41&lt;0</formula>
    </cfRule>
  </conditionalFormatting>
  <conditionalFormatting sqref="F41">
    <cfRule type="expression" dxfId="1030" priority="57">
      <formula>F41&gt;0</formula>
    </cfRule>
    <cfRule type="expression" dxfId="1029" priority="58">
      <formula>F41&lt;0</formula>
    </cfRule>
  </conditionalFormatting>
  <conditionalFormatting sqref="H41">
    <cfRule type="expression" dxfId="1028" priority="35">
      <formula>H41&gt;0</formula>
    </cfRule>
    <cfRule type="expression" dxfId="1027" priority="36">
      <formula>H41&lt;0</formula>
    </cfRule>
  </conditionalFormatting>
  <conditionalFormatting sqref="F89:F95">
    <cfRule type="expression" dxfId="1026" priority="29">
      <formula>F89&gt;0</formula>
    </cfRule>
    <cfRule type="expression" dxfId="1025" priority="30">
      <formula>F89&lt;0</formula>
    </cfRule>
  </conditionalFormatting>
  <conditionalFormatting sqref="F96:F110">
    <cfRule type="expression" dxfId="1024" priority="25">
      <formula>F96&gt;0</formula>
    </cfRule>
    <cfRule type="expression" dxfId="1023" priority="26">
      <formula>F96&lt;0</formula>
    </cfRule>
  </conditionalFormatting>
  <conditionalFormatting sqref="F96:F110">
    <cfRule type="expression" dxfId="1022" priority="27">
      <formula>F96&gt;0</formula>
    </cfRule>
    <cfRule type="expression" dxfId="1021" priority="28">
      <formula>F96&lt;0</formula>
    </cfRule>
  </conditionalFormatting>
  <conditionalFormatting sqref="H89:H100">
    <cfRule type="expression" dxfId="1020" priority="23">
      <formula>H89&gt;0</formula>
    </cfRule>
    <cfRule type="expression" dxfId="1019" priority="24">
      <formula>H89&lt;0</formula>
    </cfRule>
  </conditionalFormatting>
  <conditionalFormatting sqref="H101">
    <cfRule type="expression" dxfId="1018" priority="21">
      <formula>H101&gt;0</formula>
    </cfRule>
    <cfRule type="expression" dxfId="1017" priority="22">
      <formula>H101&lt;0</formula>
    </cfRule>
  </conditionalFormatting>
  <conditionalFormatting sqref="F111:F116">
    <cfRule type="expression" dxfId="1016" priority="19">
      <formula>F111&gt;0</formula>
    </cfRule>
    <cfRule type="expression" dxfId="1015" priority="20">
      <formula>F111&lt;0</formula>
    </cfRule>
  </conditionalFormatting>
  <conditionalFormatting sqref="H103:H116">
    <cfRule type="expression" dxfId="1014" priority="17">
      <formula>H103&gt;0</formula>
    </cfRule>
    <cfRule type="expression" dxfId="1013" priority="18">
      <formula>H103&lt;0</formula>
    </cfRule>
  </conditionalFormatting>
  <conditionalFormatting sqref="H102">
    <cfRule type="expression" dxfId="1012" priority="15">
      <formula>H102&gt;0</formula>
    </cfRule>
    <cfRule type="expression" dxfId="1011" priority="16">
      <formula>H102&lt;0</formula>
    </cfRule>
  </conditionalFormatting>
  <conditionalFormatting sqref="M42">
    <cfRule type="expression" dxfId="1010" priority="13">
      <formula>M42&gt;0</formula>
    </cfRule>
    <cfRule type="expression" dxfId="1009" priority="14">
      <formula>M42&lt;0</formula>
    </cfRule>
  </conditionalFormatting>
  <conditionalFormatting sqref="Q7">
    <cfRule type="expression" dxfId="1008" priority="9">
      <formula>Q7&gt;0</formula>
    </cfRule>
    <cfRule type="expression" dxfId="1007" priority="10">
      <formula>Q7&lt;0</formula>
    </cfRule>
  </conditionalFormatting>
  <conditionalFormatting sqref="Q8">
    <cfRule type="expression" dxfId="1006" priority="7">
      <formula>Q8&gt;0</formula>
    </cfRule>
    <cfRule type="expression" dxfId="1005" priority="8">
      <formula>Q8&lt;0</formula>
    </cfRule>
  </conditionalFormatting>
  <conditionalFormatting sqref="F117:F130 H117:H130">
    <cfRule type="expression" dxfId="1004" priority="1">
      <formula>F117&gt;0</formula>
    </cfRule>
    <cfRule type="expression" dxfId="1003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8"/>
      <c r="C2" s="4"/>
      <c r="D2" s="3"/>
      <c r="E2" s="3"/>
      <c r="F2" s="3"/>
      <c r="G2" s="488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41.24</v>
      </c>
      <c r="T3" s="1" t="s">
        <v>241</v>
      </c>
      <c r="W3" s="134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72"/>
      <c r="M4" s="3"/>
      <c r="O4" s="11" t="s">
        <v>66</v>
      </c>
      <c r="Q4" s="54">
        <v>41.24</v>
      </c>
      <c r="R4" s="506">
        <v>-1.2699999999999999E-2</v>
      </c>
      <c r="T4" s="159">
        <v>42633</v>
      </c>
      <c r="U4" s="1" t="s">
        <v>274</v>
      </c>
      <c r="W4" s="134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332</v>
      </c>
      <c r="U6" t="s">
        <v>468</v>
      </c>
      <c r="W6" s="134"/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467</v>
      </c>
      <c r="W7" s="134"/>
    </row>
    <row r="8" spans="1:23" x14ac:dyDescent="0.25">
      <c r="B8" s="488"/>
      <c r="C8" s="4"/>
      <c r="D8" s="3"/>
      <c r="E8" s="3"/>
      <c r="F8" s="3"/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469</v>
      </c>
      <c r="W8" s="134"/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8"/>
      <c r="H13" s="180"/>
      <c r="I13" s="3"/>
      <c r="J13" s="3"/>
      <c r="K13" s="3"/>
      <c r="L13" s="4"/>
      <c r="M13" s="4"/>
      <c r="W13" s="134"/>
    </row>
    <row r="14" spans="1:23" x14ac:dyDescent="0.25">
      <c r="G14" s="488"/>
      <c r="H14" s="180"/>
      <c r="I14" s="3"/>
      <c r="J14" s="3"/>
      <c r="K14" s="3"/>
      <c r="L14" s="4"/>
      <c r="M14" s="4"/>
      <c r="W14" s="13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89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519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0" t="s">
        <v>78</v>
      </c>
      <c r="P28" s="68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45.364000000000004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44.951600000000006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44.539200000000008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44.126800000000003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43.714400000000005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43.302000000000007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42.889600000000002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42.477200000000003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42.064800000000005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41.6524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41.24</v>
      </c>
      <c r="W39" s="134"/>
    </row>
    <row r="40" spans="1:23" x14ac:dyDescent="0.25">
      <c r="O40" s="81">
        <v>0.99</v>
      </c>
      <c r="P40" s="81">
        <f t="shared" si="0"/>
        <v>40.827600000000004</v>
      </c>
      <c r="W40" s="134"/>
    </row>
    <row r="41" spans="1:23" x14ac:dyDescent="0.25">
      <c r="O41" s="81">
        <v>0.98</v>
      </c>
      <c r="P41" s="81">
        <f t="shared" si="0"/>
        <v>40.415199999999999</v>
      </c>
      <c r="W41" s="134"/>
    </row>
    <row r="42" spans="1:23" x14ac:dyDescent="0.25">
      <c r="A42" s="577"/>
      <c r="B42" s="576"/>
      <c r="C42" s="577"/>
      <c r="D42" s="578"/>
      <c r="E42" s="578"/>
      <c r="F42" s="578"/>
      <c r="G42" s="577"/>
      <c r="H42" s="577"/>
      <c r="I42" s="578"/>
      <c r="J42" s="578"/>
      <c r="K42" s="578"/>
      <c r="L42" s="577" t="s">
        <v>65</v>
      </c>
      <c r="M42" s="578">
        <f>M80+K80-F80</f>
        <v>4376.9599999999991</v>
      </c>
      <c r="O42" s="81">
        <v>0.97</v>
      </c>
      <c r="P42" s="81">
        <f t="shared" si="0"/>
        <v>40.002800000000001</v>
      </c>
      <c r="W42" s="134"/>
    </row>
    <row r="43" spans="1:23" x14ac:dyDescent="0.25">
      <c r="A43" s="700" t="s">
        <v>1</v>
      </c>
      <c r="B43" s="719" t="s">
        <v>2</v>
      </c>
      <c r="C43" s="700" t="s">
        <v>4</v>
      </c>
      <c r="D43" s="701" t="s">
        <v>5</v>
      </c>
      <c r="E43" s="701" t="s">
        <v>94</v>
      </c>
      <c r="F43" s="701" t="s">
        <v>60</v>
      </c>
      <c r="G43" s="700" t="s">
        <v>3</v>
      </c>
      <c r="H43" s="700" t="s">
        <v>6</v>
      </c>
      <c r="I43" s="701" t="s">
        <v>7</v>
      </c>
      <c r="J43" s="701" t="s">
        <v>95</v>
      </c>
      <c r="K43" s="701" t="s">
        <v>61</v>
      </c>
      <c r="L43" s="700" t="s">
        <v>37</v>
      </c>
      <c r="M43" s="700" t="s">
        <v>38</v>
      </c>
      <c r="O43" s="81">
        <v>0.96</v>
      </c>
      <c r="P43" s="81">
        <f t="shared" si="0"/>
        <v>39.590400000000002</v>
      </c>
      <c r="W43" s="134"/>
    </row>
    <row r="44" spans="1:23" x14ac:dyDescent="0.25">
      <c r="A44" s="702" t="s">
        <v>224</v>
      </c>
      <c r="B44" s="576">
        <v>42545</v>
      </c>
      <c r="C44" s="577">
        <v>100</v>
      </c>
      <c r="D44" s="578">
        <v>25.25</v>
      </c>
      <c r="E44" s="578">
        <v>0</v>
      </c>
      <c r="F44" s="578">
        <f t="shared" ref="F44:F55" si="1">D44*C44+E44</f>
        <v>2525</v>
      </c>
      <c r="G44" s="576">
        <v>42577</v>
      </c>
      <c r="H44" s="579">
        <v>30</v>
      </c>
      <c r="I44" s="578">
        <v>25.81</v>
      </c>
      <c r="J44" s="578">
        <v>0.02</v>
      </c>
      <c r="K44" s="578">
        <f t="shared" ref="K44:K50" si="2">H44*I44-J44</f>
        <v>774.28</v>
      </c>
      <c r="L44" s="580">
        <v>42613</v>
      </c>
      <c r="M44" s="578">
        <v>90</v>
      </c>
      <c r="O44" s="81">
        <v>0.95</v>
      </c>
      <c r="P44" s="81">
        <f t="shared" si="0"/>
        <v>39.177999999999997</v>
      </c>
      <c r="W44" s="134"/>
    </row>
    <row r="45" spans="1:23" x14ac:dyDescent="0.25">
      <c r="A45" s="703" t="s">
        <v>71</v>
      </c>
      <c r="B45" s="576">
        <v>42580</v>
      </c>
      <c r="C45" s="577">
        <v>30</v>
      </c>
      <c r="D45" s="578">
        <v>23.78</v>
      </c>
      <c r="E45" s="578">
        <v>0</v>
      </c>
      <c r="F45" s="578">
        <f t="shared" si="1"/>
        <v>713.40000000000009</v>
      </c>
      <c r="G45" s="576">
        <v>42597</v>
      </c>
      <c r="H45" s="579">
        <v>70</v>
      </c>
      <c r="I45" s="578">
        <v>22.94</v>
      </c>
      <c r="J45" s="578">
        <v>0.38</v>
      </c>
      <c r="K45" s="578">
        <f t="shared" si="2"/>
        <v>1605.42</v>
      </c>
      <c r="L45" s="580">
        <v>42704</v>
      </c>
      <c r="M45" s="578">
        <v>102</v>
      </c>
      <c r="O45" s="81">
        <v>0.94</v>
      </c>
      <c r="P45" s="81">
        <f t="shared" si="0"/>
        <v>38.765599999999999</v>
      </c>
      <c r="W45" s="134"/>
    </row>
    <row r="46" spans="1:23" x14ac:dyDescent="0.25">
      <c r="A46" s="577"/>
      <c r="B46" s="576">
        <v>42586</v>
      </c>
      <c r="C46" s="577">
        <v>40</v>
      </c>
      <c r="D46" s="578">
        <v>22.65</v>
      </c>
      <c r="E46" s="578">
        <v>0</v>
      </c>
      <c r="F46" s="578">
        <f t="shared" si="1"/>
        <v>906</v>
      </c>
      <c r="G46" s="576">
        <v>42599</v>
      </c>
      <c r="H46" s="579">
        <v>30</v>
      </c>
      <c r="I46" s="578">
        <v>23.48</v>
      </c>
      <c r="J46" s="578">
        <v>0.02</v>
      </c>
      <c r="K46" s="578">
        <f t="shared" si="2"/>
        <v>704.38</v>
      </c>
      <c r="L46" s="577"/>
      <c r="M46" s="577"/>
      <c r="O46" s="81">
        <v>0.93</v>
      </c>
      <c r="P46" s="81">
        <f t="shared" si="0"/>
        <v>38.353200000000001</v>
      </c>
      <c r="W46" s="134"/>
    </row>
    <row r="47" spans="1:23" x14ac:dyDescent="0.25">
      <c r="A47" s="577"/>
      <c r="B47" s="576">
        <v>42586</v>
      </c>
      <c r="C47" s="577">
        <v>60</v>
      </c>
      <c r="D47" s="578">
        <v>22.65</v>
      </c>
      <c r="E47" s="578">
        <v>0</v>
      </c>
      <c r="F47" s="578">
        <f t="shared" si="1"/>
        <v>1359</v>
      </c>
      <c r="G47" s="576">
        <v>42621</v>
      </c>
      <c r="H47" s="579">
        <v>40</v>
      </c>
      <c r="I47" s="578">
        <v>26.28</v>
      </c>
      <c r="J47" s="578">
        <v>0.02</v>
      </c>
      <c r="K47" s="578">
        <f t="shared" si="2"/>
        <v>1051.18</v>
      </c>
      <c r="L47" s="577"/>
      <c r="M47" s="577"/>
      <c r="O47" s="81">
        <v>0.92</v>
      </c>
      <c r="P47" s="81">
        <f t="shared" si="0"/>
        <v>37.940800000000003</v>
      </c>
      <c r="W47" s="134"/>
    </row>
    <row r="48" spans="1:23" x14ac:dyDescent="0.25">
      <c r="A48" s="577"/>
      <c r="B48" s="576">
        <v>42586</v>
      </c>
      <c r="C48" s="577">
        <v>100</v>
      </c>
      <c r="D48" s="578">
        <v>20.92</v>
      </c>
      <c r="E48" s="578">
        <v>-0.5</v>
      </c>
      <c r="F48" s="578">
        <f t="shared" si="1"/>
        <v>2091.5</v>
      </c>
      <c r="G48" s="576">
        <v>42639</v>
      </c>
      <c r="H48" s="579">
        <v>100</v>
      </c>
      <c r="I48" s="578">
        <v>22.82</v>
      </c>
      <c r="J48" s="578">
        <v>0.05</v>
      </c>
      <c r="K48" s="578">
        <f t="shared" si="2"/>
        <v>2281.9499999999998</v>
      </c>
      <c r="L48" s="577"/>
      <c r="M48" s="577"/>
      <c r="O48" s="81">
        <v>0.91</v>
      </c>
      <c r="P48" s="81">
        <f t="shared" si="0"/>
        <v>37.528400000000005</v>
      </c>
      <c r="W48" s="134"/>
    </row>
    <row r="49" spans="1:23" x14ac:dyDescent="0.25">
      <c r="A49" s="577"/>
      <c r="B49" s="576">
        <v>42626</v>
      </c>
      <c r="C49" s="577">
        <v>40</v>
      </c>
      <c r="D49" s="578">
        <v>24.58</v>
      </c>
      <c r="E49" s="578">
        <v>0</v>
      </c>
      <c r="F49" s="578">
        <f t="shared" si="1"/>
        <v>983.19999999999993</v>
      </c>
      <c r="G49" s="576">
        <v>42643</v>
      </c>
      <c r="H49" s="579">
        <v>60</v>
      </c>
      <c r="I49" s="578">
        <v>24.72</v>
      </c>
      <c r="J49" s="578">
        <v>0.03</v>
      </c>
      <c r="K49" s="578">
        <f t="shared" si="2"/>
        <v>1483.1699999999998</v>
      </c>
      <c r="L49" s="577"/>
      <c r="M49" s="577"/>
      <c r="O49" s="81">
        <v>0.9</v>
      </c>
      <c r="P49" s="81">
        <f t="shared" si="0"/>
        <v>37.116</v>
      </c>
      <c r="W49" s="134"/>
    </row>
    <row r="50" spans="1:23" x14ac:dyDescent="0.25">
      <c r="A50" s="577"/>
      <c r="B50" s="576">
        <v>42639</v>
      </c>
      <c r="C50" s="577">
        <v>100</v>
      </c>
      <c r="D50" s="578">
        <v>22.28</v>
      </c>
      <c r="E50" s="578">
        <v>0</v>
      </c>
      <c r="F50" s="578">
        <f t="shared" si="1"/>
        <v>2228</v>
      </c>
      <c r="G50" s="576">
        <v>42663</v>
      </c>
      <c r="H50" s="579">
        <v>40</v>
      </c>
      <c r="I50" s="578">
        <v>24.78</v>
      </c>
      <c r="J50" s="578">
        <v>0.02</v>
      </c>
      <c r="K50" s="578">
        <f t="shared" si="2"/>
        <v>991.18000000000006</v>
      </c>
      <c r="L50" s="577"/>
      <c r="M50" s="577"/>
      <c r="W50" s="134"/>
    </row>
    <row r="51" spans="1:23" x14ac:dyDescent="0.25">
      <c r="A51" s="577"/>
      <c r="B51" s="576">
        <v>42643</v>
      </c>
      <c r="C51" s="577">
        <v>60</v>
      </c>
      <c r="D51" s="578">
        <v>24.3</v>
      </c>
      <c r="E51" s="578">
        <v>0</v>
      </c>
      <c r="F51" s="578">
        <f t="shared" si="1"/>
        <v>1458</v>
      </c>
      <c r="G51" s="576">
        <v>42675</v>
      </c>
      <c r="H51" s="579">
        <v>100</v>
      </c>
      <c r="I51" s="578">
        <v>24.75</v>
      </c>
      <c r="J51" s="578">
        <v>0.05</v>
      </c>
      <c r="K51" s="578">
        <f>H51*I51-J51</f>
        <v>2474.9499999999998</v>
      </c>
      <c r="L51" s="577"/>
      <c r="M51" s="577"/>
      <c r="W51" s="134"/>
    </row>
    <row r="52" spans="1:23" x14ac:dyDescent="0.25">
      <c r="A52" s="577"/>
      <c r="B52" s="576">
        <v>42655</v>
      </c>
      <c r="C52" s="577">
        <v>100</v>
      </c>
      <c r="D52" s="578">
        <v>22.56</v>
      </c>
      <c r="E52" s="578">
        <v>0</v>
      </c>
      <c r="F52" s="578">
        <f t="shared" si="1"/>
        <v>2256</v>
      </c>
      <c r="G52" s="576">
        <v>42677</v>
      </c>
      <c r="H52" s="579">
        <v>60</v>
      </c>
      <c r="I52" s="578">
        <v>23.16</v>
      </c>
      <c r="J52" s="578">
        <v>0.03</v>
      </c>
      <c r="K52" s="578">
        <f>H52*I52-J52</f>
        <v>1389.57</v>
      </c>
      <c r="L52" s="577"/>
      <c r="M52" s="577"/>
      <c r="W52" s="134"/>
    </row>
    <row r="53" spans="1:23" x14ac:dyDescent="0.25">
      <c r="A53" s="577"/>
      <c r="B53" s="576">
        <v>42674</v>
      </c>
      <c r="C53" s="577">
        <v>40</v>
      </c>
      <c r="D53" s="578">
        <v>24.16</v>
      </c>
      <c r="E53" s="578">
        <v>-0.1</v>
      </c>
      <c r="F53" s="578">
        <f t="shared" si="1"/>
        <v>966.3</v>
      </c>
      <c r="G53" s="576">
        <v>42688</v>
      </c>
      <c r="H53" s="579">
        <v>100</v>
      </c>
      <c r="I53" s="578">
        <v>28</v>
      </c>
      <c r="J53" s="578">
        <v>0.06</v>
      </c>
      <c r="K53" s="578">
        <f>H53*I53-J53</f>
        <v>2799.94</v>
      </c>
      <c r="L53" s="577"/>
      <c r="M53" s="577"/>
      <c r="W53" s="134"/>
    </row>
    <row r="54" spans="1:23" x14ac:dyDescent="0.25">
      <c r="A54" s="577"/>
      <c r="B54" s="576">
        <v>42675</v>
      </c>
      <c r="C54" s="577">
        <v>100</v>
      </c>
      <c r="D54" s="578">
        <v>24.53</v>
      </c>
      <c r="E54" s="578">
        <v>0</v>
      </c>
      <c r="F54" s="578">
        <f>D54*C54+E54</f>
        <v>2453</v>
      </c>
      <c r="G54" s="576">
        <v>42705</v>
      </c>
      <c r="H54" s="579">
        <v>40</v>
      </c>
      <c r="I54" s="578">
        <v>29.58</v>
      </c>
      <c r="J54" s="578">
        <v>0.03</v>
      </c>
      <c r="K54" s="578">
        <f>H54*I54-J54</f>
        <v>1183.1699999999998</v>
      </c>
      <c r="L54" s="577"/>
      <c r="M54" s="577"/>
      <c r="Q54" s="2"/>
      <c r="W54" s="134"/>
    </row>
    <row r="55" spans="1:23" ht="20.25" thickBot="1" x14ac:dyDescent="0.35">
      <c r="A55" s="577"/>
      <c r="B55" s="576">
        <v>42677</v>
      </c>
      <c r="C55" s="577">
        <v>100</v>
      </c>
      <c r="D55" s="578">
        <v>22.38</v>
      </c>
      <c r="E55" s="578">
        <v>0</v>
      </c>
      <c r="F55" s="578">
        <f t="shared" si="1"/>
        <v>2238</v>
      </c>
      <c r="G55" s="576">
        <v>42711</v>
      </c>
      <c r="H55" s="579">
        <v>200</v>
      </c>
      <c r="I55" s="578">
        <v>29.9</v>
      </c>
      <c r="J55" s="578">
        <v>0.13</v>
      </c>
      <c r="K55" s="578">
        <f>H55*I55-J55</f>
        <v>5979.87</v>
      </c>
      <c r="L55" s="577"/>
      <c r="M55" s="577"/>
      <c r="Q55" s="2"/>
      <c r="T55" s="89" t="s">
        <v>112</v>
      </c>
      <c r="W55" s="134"/>
    </row>
    <row r="56" spans="1:23" ht="15.75" thickTop="1" x14ac:dyDescent="0.25">
      <c r="A56" s="577"/>
      <c r="B56" s="576"/>
      <c r="C56" s="577"/>
      <c r="D56" s="578"/>
      <c r="E56" s="578"/>
      <c r="F56" s="578"/>
      <c r="G56" s="576"/>
      <c r="H56" s="579"/>
      <c r="I56" s="578"/>
      <c r="J56" s="578"/>
      <c r="K56" s="578"/>
      <c r="L56" s="577"/>
      <c r="M56" s="577"/>
      <c r="Q56" s="2"/>
      <c r="T56" s="125" t="s">
        <v>97</v>
      </c>
      <c r="U56" s="126">
        <v>29.23</v>
      </c>
      <c r="W56" s="134"/>
    </row>
    <row r="57" spans="1:23" x14ac:dyDescent="0.25">
      <c r="A57" s="577"/>
      <c r="B57" s="576">
        <v>42716</v>
      </c>
      <c r="C57" s="577">
        <v>100</v>
      </c>
      <c r="D57" s="578">
        <v>29.49</v>
      </c>
      <c r="E57" s="578">
        <v>0</v>
      </c>
      <c r="F57" s="578">
        <f>D57*C57+E57</f>
        <v>2949</v>
      </c>
      <c r="G57" s="576">
        <v>42720</v>
      </c>
      <c r="H57" s="579">
        <v>100</v>
      </c>
      <c r="I57" s="578">
        <v>29.36</v>
      </c>
      <c r="J57" s="578">
        <v>0.06</v>
      </c>
      <c r="K57" s="578">
        <f>I57*H57-J57</f>
        <v>2935.94</v>
      </c>
      <c r="L57" s="580"/>
      <c r="M57" s="578"/>
      <c r="Q57" s="2"/>
      <c r="T57" s="91" t="s">
        <v>98</v>
      </c>
      <c r="U57" s="127">
        <v>29.39</v>
      </c>
      <c r="W57" s="134"/>
    </row>
    <row r="58" spans="1:23" x14ac:dyDescent="0.25">
      <c r="A58" s="577"/>
      <c r="B58" s="576">
        <v>42716</v>
      </c>
      <c r="C58" s="577">
        <v>100</v>
      </c>
      <c r="D58" s="578">
        <v>29.08</v>
      </c>
      <c r="E58" s="578">
        <v>0</v>
      </c>
      <c r="F58" s="578">
        <f>D58*C58+E58</f>
        <v>2908</v>
      </c>
      <c r="G58" s="576">
        <v>42724</v>
      </c>
      <c r="H58" s="579">
        <v>100</v>
      </c>
      <c r="I58" s="578">
        <v>28.98</v>
      </c>
      <c r="J58" s="578">
        <v>0.06</v>
      </c>
      <c r="K58" s="578">
        <f>I58*H58-J58</f>
        <v>2897.94</v>
      </c>
      <c r="L58" s="580"/>
      <c r="M58" s="578"/>
      <c r="Q58" s="2"/>
      <c r="T58" s="91" t="s">
        <v>99</v>
      </c>
      <c r="U58" s="127" t="s">
        <v>128</v>
      </c>
      <c r="W58" s="134"/>
    </row>
    <row r="59" spans="1:23" x14ac:dyDescent="0.25">
      <c r="A59" s="577"/>
      <c r="B59" s="576">
        <v>42723</v>
      </c>
      <c r="C59" s="577">
        <v>100</v>
      </c>
      <c r="D59" s="578">
        <v>28.28</v>
      </c>
      <c r="E59" s="578">
        <v>0</v>
      </c>
      <c r="F59" s="578">
        <f>D59*C59+E59</f>
        <v>2828</v>
      </c>
      <c r="G59" s="576">
        <v>42755</v>
      </c>
      <c r="H59" s="579">
        <v>100</v>
      </c>
      <c r="I59" s="578">
        <v>34.28</v>
      </c>
      <c r="J59" s="578">
        <v>7.0000000000000007E-2</v>
      </c>
      <c r="K59" s="578">
        <f>I59*H59-J59</f>
        <v>3427.93</v>
      </c>
      <c r="L59" s="577"/>
      <c r="M59" s="577"/>
      <c r="Q59" s="2"/>
      <c r="T59" s="91" t="s">
        <v>100</v>
      </c>
      <c r="U59" s="127" t="s">
        <v>128</v>
      </c>
      <c r="W59" s="134"/>
    </row>
    <row r="60" spans="1:23" x14ac:dyDescent="0.25">
      <c r="A60" s="577"/>
      <c r="B60" s="576"/>
      <c r="C60" s="577"/>
      <c r="D60" s="578"/>
      <c r="E60" s="578"/>
      <c r="F60" s="578"/>
      <c r="G60" s="576"/>
      <c r="H60" s="579"/>
      <c r="I60" s="578"/>
      <c r="J60" s="578"/>
      <c r="K60" s="578"/>
      <c r="L60" s="577"/>
      <c r="M60" s="577"/>
      <c r="Q60" s="2"/>
      <c r="T60" s="91" t="s">
        <v>101</v>
      </c>
      <c r="U60" s="127">
        <v>33.35</v>
      </c>
      <c r="W60" s="134"/>
    </row>
    <row r="61" spans="1:23" x14ac:dyDescent="0.25">
      <c r="A61" s="577"/>
      <c r="B61" s="576"/>
      <c r="C61" s="577"/>
      <c r="D61" s="578"/>
      <c r="E61" s="578"/>
      <c r="F61" s="578"/>
      <c r="G61" s="576"/>
      <c r="H61" s="579"/>
      <c r="I61" s="578"/>
      <c r="J61" s="578"/>
      <c r="K61" s="578"/>
      <c r="L61" s="577"/>
      <c r="M61" s="577"/>
      <c r="Q61" s="2"/>
      <c r="T61" s="91" t="s">
        <v>102</v>
      </c>
      <c r="U61" s="127">
        <v>0.84249399999999997</v>
      </c>
      <c r="W61" s="134"/>
    </row>
    <row r="62" spans="1:23" x14ac:dyDescent="0.25">
      <c r="A62" s="577"/>
      <c r="B62" s="576">
        <v>42755</v>
      </c>
      <c r="C62" s="577">
        <v>100</v>
      </c>
      <c r="D62" s="578">
        <v>33.58</v>
      </c>
      <c r="E62" s="578">
        <v>0</v>
      </c>
      <c r="F62" s="578">
        <f t="shared" ref="F62:F72" si="3">D62*C62+E62</f>
        <v>3358</v>
      </c>
      <c r="G62" s="576">
        <v>42811</v>
      </c>
      <c r="H62" s="579">
        <v>100</v>
      </c>
      <c r="I62" s="578">
        <v>29.38</v>
      </c>
      <c r="J62" s="578">
        <v>0.06</v>
      </c>
      <c r="K62" s="578">
        <f t="shared" ref="K62:K72" si="4">H62*I62-J62</f>
        <v>2937.94</v>
      </c>
      <c r="L62" s="580">
        <v>42794</v>
      </c>
      <c r="M62" s="578">
        <v>30</v>
      </c>
      <c r="Q62" s="2"/>
      <c r="T62" s="91" t="s">
        <v>121</v>
      </c>
      <c r="U62" s="127" t="s">
        <v>434</v>
      </c>
      <c r="W62" s="134"/>
    </row>
    <row r="63" spans="1:23" x14ac:dyDescent="0.25">
      <c r="A63" s="577"/>
      <c r="B63" s="576">
        <v>42781</v>
      </c>
      <c r="C63" s="577">
        <v>50</v>
      </c>
      <c r="D63" s="578">
        <v>34.65</v>
      </c>
      <c r="E63" s="578">
        <v>0</v>
      </c>
      <c r="F63" s="578">
        <f t="shared" si="3"/>
        <v>1732.5</v>
      </c>
      <c r="G63" s="576">
        <v>42829</v>
      </c>
      <c r="H63" s="579">
        <v>100</v>
      </c>
      <c r="I63" s="578">
        <v>29.02</v>
      </c>
      <c r="J63" s="578">
        <v>0.06</v>
      </c>
      <c r="K63" s="578">
        <f t="shared" si="4"/>
        <v>2901.94</v>
      </c>
      <c r="L63" s="580">
        <v>42887</v>
      </c>
      <c r="M63" s="578">
        <v>75</v>
      </c>
      <c r="Q63" s="2"/>
      <c r="T63" s="91"/>
      <c r="U63" s="127"/>
      <c r="W63" s="134"/>
    </row>
    <row r="64" spans="1:23" x14ac:dyDescent="0.25">
      <c r="A64" s="577"/>
      <c r="B64" s="576">
        <v>42788</v>
      </c>
      <c r="C64" s="577">
        <v>50</v>
      </c>
      <c r="D64" s="578">
        <v>33.24</v>
      </c>
      <c r="E64" s="578">
        <v>0</v>
      </c>
      <c r="F64" s="578">
        <f t="shared" si="3"/>
        <v>1662</v>
      </c>
      <c r="G64" s="576">
        <v>42851</v>
      </c>
      <c r="H64" s="579">
        <v>100</v>
      </c>
      <c r="I64" s="578">
        <v>27.4</v>
      </c>
      <c r="J64" s="578">
        <v>0.06</v>
      </c>
      <c r="K64" s="578">
        <f t="shared" si="4"/>
        <v>2739.94</v>
      </c>
      <c r="L64" s="580">
        <v>42979</v>
      </c>
      <c r="M64" s="578">
        <v>75</v>
      </c>
      <c r="Q64" s="2"/>
      <c r="T64" s="91" t="s">
        <v>104</v>
      </c>
      <c r="U64" s="127" t="s">
        <v>659</v>
      </c>
      <c r="W64" s="134"/>
    </row>
    <row r="65" spans="1:23" x14ac:dyDescent="0.25">
      <c r="A65" s="577"/>
      <c r="B65" s="576">
        <v>42789</v>
      </c>
      <c r="C65" s="577">
        <v>50</v>
      </c>
      <c r="D65" s="578">
        <v>31.68</v>
      </c>
      <c r="E65" s="578">
        <v>0</v>
      </c>
      <c r="F65" s="578">
        <f t="shared" si="3"/>
        <v>1584</v>
      </c>
      <c r="G65" s="576">
        <v>42860</v>
      </c>
      <c r="H65" s="579">
        <v>100</v>
      </c>
      <c r="I65" s="578">
        <v>27.58</v>
      </c>
      <c r="J65" s="578">
        <v>0.06</v>
      </c>
      <c r="K65" s="578">
        <f t="shared" si="4"/>
        <v>2757.94</v>
      </c>
      <c r="L65" s="577"/>
      <c r="M65" s="577"/>
      <c r="Q65" s="2"/>
      <c r="T65" s="91" t="s">
        <v>105</v>
      </c>
      <c r="U65" s="127" t="s">
        <v>486</v>
      </c>
      <c r="W65" s="134"/>
    </row>
    <row r="66" spans="1:23" x14ac:dyDescent="0.25">
      <c r="A66" s="577"/>
      <c r="B66" s="576">
        <v>42810</v>
      </c>
      <c r="C66" s="577">
        <v>100</v>
      </c>
      <c r="D66" s="578">
        <v>28.38</v>
      </c>
      <c r="E66" s="578">
        <v>0</v>
      </c>
      <c r="F66" s="578">
        <f t="shared" si="3"/>
        <v>2838</v>
      </c>
      <c r="G66" s="576">
        <v>42898</v>
      </c>
      <c r="H66" s="579">
        <v>100</v>
      </c>
      <c r="I66" s="578">
        <v>27.68</v>
      </c>
      <c r="J66" s="578">
        <v>0.06</v>
      </c>
      <c r="K66" s="578">
        <f t="shared" si="4"/>
        <v>2767.94</v>
      </c>
      <c r="L66" s="577"/>
      <c r="M66" s="577"/>
      <c r="Q66" s="2"/>
      <c r="T66" s="91" t="s">
        <v>106</v>
      </c>
      <c r="U66" s="128">
        <v>3892969</v>
      </c>
      <c r="W66" s="134"/>
    </row>
    <row r="67" spans="1:23" x14ac:dyDescent="0.25">
      <c r="A67" s="577"/>
      <c r="B67" s="576">
        <v>42828</v>
      </c>
      <c r="C67" s="577">
        <v>100</v>
      </c>
      <c r="D67" s="578">
        <v>28.36</v>
      </c>
      <c r="E67" s="578">
        <v>0</v>
      </c>
      <c r="F67" s="578">
        <f t="shared" si="3"/>
        <v>2836</v>
      </c>
      <c r="G67" s="576">
        <v>42936</v>
      </c>
      <c r="H67" s="579">
        <v>100</v>
      </c>
      <c r="I67" s="578">
        <v>31.14</v>
      </c>
      <c r="J67" s="578">
        <v>0.56999999999999995</v>
      </c>
      <c r="K67" s="578">
        <f t="shared" si="4"/>
        <v>3113.43</v>
      </c>
      <c r="L67" s="577"/>
      <c r="M67" s="577"/>
      <c r="T67" s="91" t="s">
        <v>109</v>
      </c>
      <c r="U67" s="128">
        <v>5373180</v>
      </c>
      <c r="W67" s="134"/>
    </row>
    <row r="68" spans="1:23" x14ac:dyDescent="0.25">
      <c r="A68" s="577"/>
      <c r="B68" s="576">
        <v>42846</v>
      </c>
      <c r="C68" s="577">
        <v>100</v>
      </c>
      <c r="D68" s="578">
        <v>26</v>
      </c>
      <c r="E68" s="578">
        <v>0</v>
      </c>
      <c r="F68" s="578">
        <f t="shared" si="3"/>
        <v>2600</v>
      </c>
      <c r="G68" s="576">
        <v>42950</v>
      </c>
      <c r="H68" s="579">
        <v>50</v>
      </c>
      <c r="I68" s="578">
        <v>30.38</v>
      </c>
      <c r="J68" s="578">
        <v>0.04</v>
      </c>
      <c r="K68" s="578">
        <f t="shared" si="4"/>
        <v>1518.96</v>
      </c>
      <c r="L68" s="577"/>
      <c r="M68" s="577"/>
      <c r="T68" s="91" t="s">
        <v>107</v>
      </c>
      <c r="U68" s="127" t="s">
        <v>660</v>
      </c>
      <c r="W68" s="134"/>
    </row>
    <row r="69" spans="1:23" x14ac:dyDescent="0.25">
      <c r="A69" s="577"/>
      <c r="B69" s="576">
        <v>42853</v>
      </c>
      <c r="C69" s="577">
        <v>100</v>
      </c>
      <c r="D69" s="578">
        <v>26.75</v>
      </c>
      <c r="E69" s="578">
        <v>-0.21</v>
      </c>
      <c r="F69" s="578">
        <f t="shared" si="3"/>
        <v>2674.79</v>
      </c>
      <c r="G69" s="576">
        <v>42951</v>
      </c>
      <c r="H69" s="579">
        <v>50</v>
      </c>
      <c r="I69" s="578">
        <v>31.38</v>
      </c>
      <c r="J69" s="578">
        <v>0.04</v>
      </c>
      <c r="K69" s="578">
        <f t="shared" si="4"/>
        <v>1568.96</v>
      </c>
      <c r="L69" s="577"/>
      <c r="M69" s="577"/>
      <c r="T69" s="91" t="s">
        <v>110</v>
      </c>
      <c r="U69" s="127" t="s">
        <v>128</v>
      </c>
      <c r="W69" s="134"/>
    </row>
    <row r="70" spans="1:23" x14ac:dyDescent="0.25">
      <c r="A70" s="577"/>
      <c r="B70" s="576">
        <v>42888</v>
      </c>
      <c r="C70" s="577">
        <v>100</v>
      </c>
      <c r="D70" s="578">
        <v>26.2</v>
      </c>
      <c r="E70" s="578">
        <v>0</v>
      </c>
      <c r="F70" s="578">
        <f t="shared" si="3"/>
        <v>2620</v>
      </c>
      <c r="G70" s="576">
        <v>42984</v>
      </c>
      <c r="H70" s="579">
        <v>100</v>
      </c>
      <c r="I70" s="578">
        <v>29.98</v>
      </c>
      <c r="J70" s="578">
        <v>7.0000000000000007E-2</v>
      </c>
      <c r="K70" s="578">
        <f t="shared" si="4"/>
        <v>2997.93</v>
      </c>
      <c r="L70" s="576"/>
      <c r="M70" s="577"/>
      <c r="T70" s="91" t="s">
        <v>111</v>
      </c>
      <c r="U70" s="127">
        <v>-1.19</v>
      </c>
    </row>
    <row r="71" spans="1:23" x14ac:dyDescent="0.25">
      <c r="A71" s="577"/>
      <c r="B71" s="576">
        <v>42940</v>
      </c>
      <c r="C71" s="577">
        <v>100</v>
      </c>
      <c r="D71" s="578">
        <v>30.29</v>
      </c>
      <c r="E71" s="578">
        <v>0</v>
      </c>
      <c r="F71" s="578">
        <f t="shared" si="3"/>
        <v>3029</v>
      </c>
      <c r="G71" s="576">
        <v>42984</v>
      </c>
      <c r="H71" s="579">
        <v>50</v>
      </c>
      <c r="I71" s="578">
        <v>30.78</v>
      </c>
      <c r="J71" s="578">
        <v>0.04</v>
      </c>
      <c r="K71" s="578">
        <f t="shared" si="4"/>
        <v>1538.96</v>
      </c>
      <c r="L71" s="577"/>
      <c r="M71" s="577"/>
      <c r="T71" s="91" t="s">
        <v>108</v>
      </c>
      <c r="U71" s="127" t="s">
        <v>567</v>
      </c>
    </row>
    <row r="72" spans="1:23" x14ac:dyDescent="0.25">
      <c r="A72" s="577"/>
      <c r="B72" s="576">
        <v>42942</v>
      </c>
      <c r="C72" s="577">
        <v>50</v>
      </c>
      <c r="D72" s="578">
        <v>28.79</v>
      </c>
      <c r="E72" s="578">
        <v>0</v>
      </c>
      <c r="F72" s="578">
        <f t="shared" si="3"/>
        <v>1439.5</v>
      </c>
      <c r="G72" s="576">
        <v>42984</v>
      </c>
      <c r="H72" s="579">
        <v>50</v>
      </c>
      <c r="I72" s="578">
        <v>31.28</v>
      </c>
      <c r="J72" s="578">
        <v>0.04</v>
      </c>
      <c r="K72" s="578">
        <f t="shared" si="4"/>
        <v>1563.96</v>
      </c>
      <c r="L72" s="577"/>
      <c r="M72" s="577"/>
    </row>
    <row r="73" spans="1:23" x14ac:dyDescent="0.25">
      <c r="A73" s="577"/>
      <c r="B73" s="576"/>
      <c r="C73" s="577"/>
      <c r="D73" s="578"/>
      <c r="E73" s="578"/>
      <c r="F73" s="578"/>
      <c r="G73" s="577"/>
      <c r="H73" s="577"/>
      <c r="I73" s="578"/>
      <c r="J73" s="578"/>
      <c r="K73" s="578"/>
      <c r="L73" s="577"/>
      <c r="M73" s="577"/>
    </row>
    <row r="74" spans="1:23" x14ac:dyDescent="0.25">
      <c r="A74" s="577"/>
      <c r="B74" s="487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7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7"/>
      <c r="M74" s="577"/>
    </row>
    <row r="75" spans="1:23" x14ac:dyDescent="0.25">
      <c r="A75" s="577"/>
      <c r="B75" s="488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8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7"/>
      <c r="M75" s="577"/>
    </row>
    <row r="76" spans="1:23" x14ac:dyDescent="0.25">
      <c r="A76" s="577"/>
      <c r="B76" s="576"/>
      <c r="C76" s="577"/>
      <c r="D76" s="578"/>
      <c r="E76" s="578"/>
      <c r="F76" s="578"/>
      <c r="G76" s="576"/>
      <c r="H76" s="579"/>
      <c r="I76" s="578"/>
      <c r="J76" s="578"/>
      <c r="K76" s="578"/>
      <c r="L76" s="577"/>
      <c r="M76" s="577"/>
    </row>
    <row r="77" spans="1:23" x14ac:dyDescent="0.25">
      <c r="A77" s="577"/>
      <c r="B77" s="576"/>
      <c r="C77" s="577"/>
      <c r="D77" s="578"/>
      <c r="E77" s="578"/>
      <c r="F77" s="578"/>
      <c r="G77" s="576"/>
      <c r="H77" s="579"/>
      <c r="I77" s="578"/>
      <c r="J77" s="578"/>
      <c r="K77" s="578"/>
      <c r="L77" s="577"/>
      <c r="M77" s="577"/>
      <c r="S77" t="s">
        <v>227</v>
      </c>
    </row>
    <row r="78" spans="1:23" x14ac:dyDescent="0.25">
      <c r="A78" s="577"/>
      <c r="B78" s="576"/>
      <c r="C78" s="577"/>
      <c r="D78" s="578"/>
      <c r="E78" s="578"/>
      <c r="F78" s="578"/>
      <c r="G78" s="576"/>
      <c r="H78" s="579"/>
      <c r="I78" s="578"/>
      <c r="J78" s="578"/>
      <c r="K78" s="578"/>
      <c r="L78" s="577"/>
      <c r="M78" s="577"/>
    </row>
    <row r="79" spans="1:23" x14ac:dyDescent="0.25">
      <c r="A79" s="577"/>
      <c r="B79" s="576"/>
      <c r="C79" s="577"/>
      <c r="D79" s="578"/>
      <c r="E79" s="578"/>
      <c r="F79" s="578"/>
      <c r="G79" s="576"/>
      <c r="H79" s="577"/>
      <c r="I79" s="578"/>
      <c r="J79" s="578"/>
      <c r="K79" s="578"/>
      <c r="L79" s="577"/>
      <c r="M79" s="577"/>
    </row>
    <row r="80" spans="1:23" x14ac:dyDescent="0.25">
      <c r="A80" s="704" t="s">
        <v>81</v>
      </c>
      <c r="B80" s="720"/>
      <c r="C80" s="705">
        <f>SUM(C44:C79)</f>
        <v>2220</v>
      </c>
      <c r="D80" s="706"/>
      <c r="E80" s="706"/>
      <c r="F80" s="706">
        <f>SUM(F44:F79)</f>
        <v>59686.19</v>
      </c>
      <c r="G80" s="705"/>
      <c r="H80" s="707">
        <f>SUM(H44:H79)</f>
        <v>2220</v>
      </c>
      <c r="I80" s="706"/>
      <c r="J80" s="706"/>
      <c r="K80" s="706">
        <f>SUM(K44:K79)</f>
        <v>63691.15</v>
      </c>
      <c r="L80" s="705"/>
      <c r="M80" s="706">
        <f>SUM(M44:M79)</f>
        <v>372</v>
      </c>
    </row>
    <row r="81" spans="1:13" ht="15.75" thickBot="1" x14ac:dyDescent="0.3">
      <c r="A81" s="708" t="s">
        <v>194</v>
      </c>
      <c r="B81" s="721"/>
      <c r="C81" s="709">
        <f>SumByColor($A$19,C44:C79)</f>
        <v>50</v>
      </c>
      <c r="D81" s="709"/>
      <c r="E81" s="709"/>
      <c r="F81" s="710">
        <f>SumByColor($A$19,F44:F79)</f>
        <v>1535</v>
      </c>
      <c r="G81" s="709"/>
      <c r="H81" s="709">
        <f>SumByColor($A$19,H44:H79)</f>
        <v>50</v>
      </c>
      <c r="I81" s="709"/>
      <c r="J81" s="709"/>
      <c r="K81" s="710">
        <f>SumByColor($A$19,K44:K79)</f>
        <v>1634</v>
      </c>
      <c r="L81" s="709"/>
      <c r="M81" s="710">
        <f>SumByColor($A$19,M44:M79)</f>
        <v>0</v>
      </c>
    </row>
    <row r="88" spans="1:13" x14ac:dyDescent="0.25">
      <c r="B88" s="491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519</v>
      </c>
    </row>
    <row r="89" spans="1:13" x14ac:dyDescent="0.25">
      <c r="B89" s="634"/>
      <c r="C89" s="370"/>
      <c r="D89" s="371"/>
      <c r="E89" s="371"/>
      <c r="F89" s="371"/>
      <c r="G89" s="370"/>
      <c r="H89" s="370"/>
      <c r="I89" s="371"/>
      <c r="J89" s="371"/>
    </row>
    <row r="90" spans="1:13" x14ac:dyDescent="0.25">
      <c r="B90" s="634">
        <v>42545</v>
      </c>
      <c r="C90" s="370">
        <v>100</v>
      </c>
      <c r="D90" s="371">
        <v>25.25</v>
      </c>
      <c r="E90" s="371">
        <v>25.43</v>
      </c>
      <c r="F90" s="371">
        <f t="shared" ref="F90:F151" si="5">C90*(E90-D90)</f>
        <v>17.999999999999972</v>
      </c>
      <c r="G90" s="371">
        <f t="shared" ref="G90:G151" si="6">D90*C90</f>
        <v>2525</v>
      </c>
      <c r="H90" s="372">
        <f t="shared" ref="H90:H151" si="7">(E90-D90)/D90</f>
        <v>7.1287128712871177E-3</v>
      </c>
      <c r="I90" s="371"/>
      <c r="J90" s="371"/>
    </row>
    <row r="91" spans="1:13" x14ac:dyDescent="0.25">
      <c r="B91" s="634">
        <v>42548</v>
      </c>
      <c r="C91" s="370">
        <v>100</v>
      </c>
      <c r="D91" s="371">
        <v>25.25</v>
      </c>
      <c r="E91" s="371">
        <v>23.48</v>
      </c>
      <c r="F91" s="371">
        <f t="shared" si="5"/>
        <v>-176.99999999999994</v>
      </c>
      <c r="G91" s="371">
        <f t="shared" si="6"/>
        <v>2525</v>
      </c>
      <c r="H91" s="372">
        <f t="shared" si="7"/>
        <v>-7.0099009900990078E-2</v>
      </c>
      <c r="I91" s="371"/>
      <c r="J91" s="371"/>
    </row>
    <row r="92" spans="1:13" x14ac:dyDescent="0.25">
      <c r="B92" s="634">
        <v>42549</v>
      </c>
      <c r="C92" s="370">
        <v>100</v>
      </c>
      <c r="D92" s="371">
        <v>25.25</v>
      </c>
      <c r="E92" s="371">
        <v>24.06</v>
      </c>
      <c r="F92" s="371">
        <f t="shared" si="5"/>
        <v>-119.00000000000013</v>
      </c>
      <c r="G92" s="371">
        <f t="shared" si="6"/>
        <v>2525</v>
      </c>
      <c r="H92" s="372">
        <f t="shared" si="7"/>
        <v>-4.7128712871287178E-2</v>
      </c>
      <c r="I92" s="371"/>
      <c r="J92" s="371"/>
    </row>
    <row r="93" spans="1:13" x14ac:dyDescent="0.25">
      <c r="B93" s="634">
        <v>42556</v>
      </c>
      <c r="C93" s="370">
        <v>100</v>
      </c>
      <c r="D93" s="371">
        <v>25.25</v>
      </c>
      <c r="E93" s="371">
        <v>23.54</v>
      </c>
      <c r="F93" s="371">
        <f t="shared" si="5"/>
        <v>-171.00000000000009</v>
      </c>
      <c r="G93" s="371">
        <f t="shared" si="6"/>
        <v>2525</v>
      </c>
      <c r="H93" s="372">
        <f t="shared" si="7"/>
        <v>-6.7722772277227755E-2</v>
      </c>
      <c r="I93" s="371"/>
      <c r="J93" s="371"/>
    </row>
    <row r="94" spans="1:13" x14ac:dyDescent="0.25">
      <c r="B94" s="634">
        <v>42557</v>
      </c>
      <c r="C94" s="370">
        <v>100</v>
      </c>
      <c r="D94" s="371">
        <v>25.25</v>
      </c>
      <c r="E94" s="371">
        <v>23.75</v>
      </c>
      <c r="F94" s="371">
        <f t="shared" si="5"/>
        <v>-150</v>
      </c>
      <c r="G94" s="371">
        <f t="shared" si="6"/>
        <v>2525</v>
      </c>
      <c r="H94" s="372">
        <f t="shared" si="7"/>
        <v>-5.9405940594059403E-2</v>
      </c>
      <c r="I94" s="371"/>
      <c r="J94" s="371"/>
    </row>
    <row r="95" spans="1:13" x14ac:dyDescent="0.25">
      <c r="B95" s="634">
        <v>42559</v>
      </c>
      <c r="C95" s="370">
        <v>100</v>
      </c>
      <c r="D95" s="371">
        <v>25.25</v>
      </c>
      <c r="E95" s="371">
        <v>24.86</v>
      </c>
      <c r="F95" s="371">
        <f t="shared" si="5"/>
        <v>-39.000000000000057</v>
      </c>
      <c r="G95" s="371">
        <f t="shared" si="6"/>
        <v>2525</v>
      </c>
      <c r="H95" s="372">
        <f t="shared" si="7"/>
        <v>-1.5445544554455468E-2</v>
      </c>
      <c r="I95" s="371"/>
      <c r="J95" s="371"/>
    </row>
    <row r="96" spans="1:13" x14ac:dyDescent="0.25">
      <c r="B96" s="634">
        <v>42562</v>
      </c>
      <c r="C96" s="370">
        <v>100</v>
      </c>
      <c r="D96" s="371">
        <v>25.25</v>
      </c>
      <c r="E96" s="371">
        <v>24.67</v>
      </c>
      <c r="F96" s="371">
        <f t="shared" si="5"/>
        <v>-57.999999999999829</v>
      </c>
      <c r="G96" s="371">
        <f t="shared" si="6"/>
        <v>2525</v>
      </c>
      <c r="H96" s="372">
        <f t="shared" si="7"/>
        <v>-2.2970297029702904E-2</v>
      </c>
      <c r="I96" s="371"/>
      <c r="J96" s="371"/>
    </row>
    <row r="97" spans="2:10" x14ac:dyDescent="0.25">
      <c r="B97" s="634">
        <v>42563</v>
      </c>
      <c r="C97" s="370">
        <v>100</v>
      </c>
      <c r="D97" s="371">
        <v>25.25</v>
      </c>
      <c r="E97" s="371">
        <v>26.03</v>
      </c>
      <c r="F97" s="371">
        <f t="shared" si="5"/>
        <v>78.000000000000114</v>
      </c>
      <c r="G97" s="371">
        <f t="shared" si="6"/>
        <v>2525</v>
      </c>
      <c r="H97" s="372">
        <f t="shared" si="7"/>
        <v>3.0891089108910936E-2</v>
      </c>
      <c r="I97" s="371"/>
      <c r="J97" s="371"/>
    </row>
    <row r="98" spans="2:10" x14ac:dyDescent="0.25">
      <c r="B98" s="634">
        <v>42569</v>
      </c>
      <c r="C98" s="370">
        <v>100</v>
      </c>
      <c r="D98" s="371">
        <v>25.25</v>
      </c>
      <c r="E98" s="371">
        <v>27.69</v>
      </c>
      <c r="F98" s="371">
        <f t="shared" si="5"/>
        <v>244.00000000000011</v>
      </c>
      <c r="G98" s="371">
        <f t="shared" si="6"/>
        <v>2525</v>
      </c>
      <c r="H98" s="372">
        <f t="shared" si="7"/>
        <v>9.6633663366336678E-2</v>
      </c>
      <c r="I98" s="453">
        <v>23</v>
      </c>
      <c r="J98" s="371"/>
    </row>
    <row r="99" spans="2:10" x14ac:dyDescent="0.25">
      <c r="B99" s="634">
        <v>42570</v>
      </c>
      <c r="C99" s="370">
        <v>100</v>
      </c>
      <c r="D99" s="371">
        <v>25.25</v>
      </c>
      <c r="E99" s="371">
        <v>26.55</v>
      </c>
      <c r="F99" s="371">
        <f t="shared" si="5"/>
        <v>130.00000000000006</v>
      </c>
      <c r="G99" s="371">
        <f t="shared" si="6"/>
        <v>2525</v>
      </c>
      <c r="H99" s="372">
        <f t="shared" si="7"/>
        <v>5.148514851485151E-2</v>
      </c>
      <c r="I99" s="371"/>
      <c r="J99" s="371"/>
    </row>
    <row r="100" spans="2:10" x14ac:dyDescent="0.25">
      <c r="B100" s="634">
        <v>42571</v>
      </c>
      <c r="C100" s="370">
        <v>100</v>
      </c>
      <c r="D100" s="371">
        <v>25.25</v>
      </c>
      <c r="E100" s="371">
        <v>26.61</v>
      </c>
      <c r="F100" s="371">
        <f t="shared" si="5"/>
        <v>135.99999999999994</v>
      </c>
      <c r="G100" s="371">
        <f t="shared" si="6"/>
        <v>2525</v>
      </c>
      <c r="H100" s="372">
        <f t="shared" si="7"/>
        <v>5.386138613861384E-2</v>
      </c>
      <c r="I100" s="371"/>
      <c r="J100" s="371"/>
    </row>
    <row r="101" spans="2:10" x14ac:dyDescent="0.25">
      <c r="B101" s="634">
        <v>42572</v>
      </c>
      <c r="C101" s="370">
        <v>100</v>
      </c>
      <c r="D101" s="371">
        <v>25.25</v>
      </c>
      <c r="E101" s="371">
        <v>26.29</v>
      </c>
      <c r="F101" s="371">
        <f t="shared" si="5"/>
        <v>103.99999999999991</v>
      </c>
      <c r="G101" s="371">
        <f t="shared" si="6"/>
        <v>2525</v>
      </c>
      <c r="H101" s="372">
        <f t="shared" si="7"/>
        <v>4.1188118811881155E-2</v>
      </c>
      <c r="I101" s="371"/>
      <c r="J101" s="371"/>
    </row>
    <row r="102" spans="2:10" x14ac:dyDescent="0.25">
      <c r="B102" s="634">
        <v>42575</v>
      </c>
      <c r="C102" s="370">
        <v>100</v>
      </c>
      <c r="D102" s="371">
        <v>25.25</v>
      </c>
      <c r="E102" s="371">
        <v>25.18</v>
      </c>
      <c r="F102" s="371">
        <f t="shared" si="5"/>
        <v>-7.0000000000000284</v>
      </c>
      <c r="G102" s="371">
        <f t="shared" si="6"/>
        <v>2525</v>
      </c>
      <c r="H102" s="372">
        <f t="shared" si="7"/>
        <v>-2.7722772277227834E-3</v>
      </c>
      <c r="I102" s="371"/>
      <c r="J102" s="371"/>
    </row>
    <row r="103" spans="2:10" x14ac:dyDescent="0.25">
      <c r="B103" s="634">
        <v>42576</v>
      </c>
      <c r="C103" s="370">
        <v>100</v>
      </c>
      <c r="D103" s="371">
        <v>25.25</v>
      </c>
      <c r="E103" s="371">
        <v>25.33</v>
      </c>
      <c r="F103" s="371">
        <f t="shared" si="5"/>
        <v>7.9999999999998295</v>
      </c>
      <c r="G103" s="371">
        <f t="shared" si="6"/>
        <v>2525</v>
      </c>
      <c r="H103" s="372">
        <f t="shared" si="7"/>
        <v>3.1683168316831009E-3</v>
      </c>
      <c r="I103" s="371"/>
      <c r="J103" s="371"/>
    </row>
    <row r="104" spans="2:10" x14ac:dyDescent="0.25">
      <c r="B104" s="634">
        <v>42577</v>
      </c>
      <c r="C104" s="370">
        <v>70</v>
      </c>
      <c r="D104" s="371">
        <v>25.010300000000001</v>
      </c>
      <c r="E104" s="371">
        <v>25.8</v>
      </c>
      <c r="F104" s="371">
        <f t="shared" si="5"/>
        <v>55.278999999999989</v>
      </c>
      <c r="G104" s="371">
        <f t="shared" si="6"/>
        <v>1750.721</v>
      </c>
      <c r="H104" s="372">
        <f t="shared" si="7"/>
        <v>3.1574991103665281E-2</v>
      </c>
      <c r="I104" s="371"/>
      <c r="J104" s="371"/>
    </row>
    <row r="105" spans="2:10" x14ac:dyDescent="0.25">
      <c r="B105" s="634">
        <v>42580</v>
      </c>
      <c r="C105" s="370">
        <v>100</v>
      </c>
      <c r="D105" s="371">
        <v>24.641200000000001</v>
      </c>
      <c r="E105" s="371">
        <v>24.68</v>
      </c>
      <c r="F105" s="371">
        <f t="shared" si="5"/>
        <v>3.8799999999998391</v>
      </c>
      <c r="G105" s="371">
        <f t="shared" si="6"/>
        <v>2464.1200000000003</v>
      </c>
      <c r="H105" s="372">
        <f t="shared" si="7"/>
        <v>1.5745986396765738E-3</v>
      </c>
      <c r="I105" s="371"/>
      <c r="J105" s="371"/>
    </row>
    <row r="106" spans="2:10" x14ac:dyDescent="0.25">
      <c r="B106" s="634">
        <v>42585</v>
      </c>
      <c r="C106" s="370">
        <v>100</v>
      </c>
      <c r="D106" s="371">
        <v>24.641200000000001</v>
      </c>
      <c r="E106" s="371">
        <v>24.49</v>
      </c>
      <c r="F106" s="371">
        <f t="shared" si="5"/>
        <v>-15.120000000000289</v>
      </c>
      <c r="G106" s="371">
        <f t="shared" si="6"/>
        <v>2464.1200000000003</v>
      </c>
      <c r="H106" s="372">
        <f t="shared" si="7"/>
        <v>-6.1360648020389787E-3</v>
      </c>
      <c r="I106" s="371"/>
      <c r="J106" s="371"/>
    </row>
    <row r="107" spans="2:10" x14ac:dyDescent="0.25">
      <c r="B107" s="634">
        <v>42586</v>
      </c>
      <c r="C107" s="370">
        <v>200</v>
      </c>
      <c r="D107" s="371">
        <v>23.6431</v>
      </c>
      <c r="E107" s="371">
        <v>21.43</v>
      </c>
      <c r="F107" s="371">
        <f t="shared" si="5"/>
        <v>-442.62000000000012</v>
      </c>
      <c r="G107" s="371">
        <f t="shared" si="6"/>
        <v>4728.62</v>
      </c>
      <c r="H107" s="372">
        <f t="shared" si="7"/>
        <v>-9.360447657033133E-2</v>
      </c>
      <c r="I107" s="371"/>
      <c r="J107" s="371"/>
    </row>
    <row r="108" spans="2:10" x14ac:dyDescent="0.25">
      <c r="B108" s="634">
        <v>42586</v>
      </c>
      <c r="C108" s="370">
        <v>300</v>
      </c>
      <c r="D108" s="371">
        <v>22.735399999999998</v>
      </c>
      <c r="E108" s="371">
        <v>21.43</v>
      </c>
      <c r="F108" s="371">
        <f t="shared" si="5"/>
        <v>-391.61999999999966</v>
      </c>
      <c r="G108" s="371">
        <f t="shared" si="6"/>
        <v>6820.62</v>
      </c>
      <c r="H108" s="372">
        <f t="shared" si="7"/>
        <v>-5.7417067656605945E-2</v>
      </c>
      <c r="I108" s="371"/>
      <c r="J108" s="371"/>
    </row>
    <row r="109" spans="2:10" x14ac:dyDescent="0.25">
      <c r="B109" s="634">
        <v>42591</v>
      </c>
      <c r="C109" s="370">
        <v>300</v>
      </c>
      <c r="D109" s="371">
        <v>22.735399999999998</v>
      </c>
      <c r="E109" s="371">
        <v>22.12</v>
      </c>
      <c r="F109" s="371">
        <f t="shared" si="5"/>
        <v>-184.61999999999927</v>
      </c>
      <c r="G109" s="371">
        <f t="shared" si="6"/>
        <v>6820.62</v>
      </c>
      <c r="H109" s="372">
        <f t="shared" si="7"/>
        <v>-2.7067920511624936E-2</v>
      </c>
      <c r="I109" s="371"/>
      <c r="J109" s="371"/>
    </row>
    <row r="110" spans="2:10" x14ac:dyDescent="0.25">
      <c r="B110" s="634">
        <v>42593</v>
      </c>
      <c r="C110" s="370">
        <v>300</v>
      </c>
      <c r="D110" s="371">
        <v>22.735399999999998</v>
      </c>
      <c r="E110" s="371">
        <v>21.57</v>
      </c>
      <c r="F110" s="371">
        <f t="shared" si="5"/>
        <v>-349.61999999999944</v>
      </c>
      <c r="G110" s="371">
        <f t="shared" si="6"/>
        <v>6820.62</v>
      </c>
      <c r="H110" s="372">
        <f t="shared" si="7"/>
        <v>-5.1259269685160515E-2</v>
      </c>
      <c r="I110" s="371"/>
      <c r="J110" s="371"/>
    </row>
    <row r="111" spans="2:10" x14ac:dyDescent="0.25">
      <c r="B111" s="634">
        <v>42597</v>
      </c>
      <c r="C111" s="370">
        <v>230</v>
      </c>
      <c r="D111" s="371">
        <v>22.674800000000001</v>
      </c>
      <c r="E111" s="371">
        <v>23.2</v>
      </c>
      <c r="F111" s="371">
        <f t="shared" si="5"/>
        <v>120.79599999999957</v>
      </c>
      <c r="G111" s="371">
        <f t="shared" si="6"/>
        <v>5215.2040000000006</v>
      </c>
      <c r="H111" s="372">
        <f t="shared" si="7"/>
        <v>2.3162277065288252E-2</v>
      </c>
      <c r="I111" s="371"/>
      <c r="J111" s="371"/>
    </row>
    <row r="112" spans="2:10" x14ac:dyDescent="0.25">
      <c r="B112" s="634">
        <v>42599</v>
      </c>
      <c r="C112" s="370">
        <v>200</v>
      </c>
      <c r="D112" s="371">
        <v>22.554099999999998</v>
      </c>
      <c r="E112" s="371">
        <v>23.31</v>
      </c>
      <c r="F112" s="371">
        <f t="shared" si="5"/>
        <v>151.18000000000009</v>
      </c>
      <c r="G112" s="371">
        <f t="shared" si="6"/>
        <v>4510.82</v>
      </c>
      <c r="H112" s="372">
        <f t="shared" si="7"/>
        <v>3.3514970670521123E-2</v>
      </c>
      <c r="I112" s="371">
        <v>22</v>
      </c>
      <c r="J112" s="371"/>
    </row>
    <row r="113" spans="2:10" x14ac:dyDescent="0.25">
      <c r="B113" s="634">
        <v>42600</v>
      </c>
      <c r="C113" s="370">
        <v>200</v>
      </c>
      <c r="D113" s="371">
        <v>22.554099999999998</v>
      </c>
      <c r="E113" s="371">
        <v>22.74</v>
      </c>
      <c r="F113" s="371">
        <f t="shared" si="5"/>
        <v>37.180000000000035</v>
      </c>
      <c r="G113" s="371">
        <f t="shared" si="6"/>
        <v>4510.82</v>
      </c>
      <c r="H113" s="372">
        <f t="shared" si="7"/>
        <v>8.2424038201480074E-3</v>
      </c>
      <c r="I113" s="371"/>
      <c r="J113" s="371"/>
    </row>
    <row r="114" spans="2:10" x14ac:dyDescent="0.25">
      <c r="B114" s="634">
        <v>42601</v>
      </c>
      <c r="C114" s="370">
        <v>200</v>
      </c>
      <c r="D114" s="371">
        <v>22.554099999999998</v>
      </c>
      <c r="E114" s="371">
        <v>23.02</v>
      </c>
      <c r="F114" s="371">
        <f t="shared" si="5"/>
        <v>93.180000000000263</v>
      </c>
      <c r="G114" s="371">
        <f t="shared" si="6"/>
        <v>4510.82</v>
      </c>
      <c r="H114" s="372">
        <f t="shared" si="7"/>
        <v>2.06569980624366E-2</v>
      </c>
      <c r="I114" s="371"/>
      <c r="J114" s="371"/>
    </row>
    <row r="115" spans="2:10" x14ac:dyDescent="0.25">
      <c r="B115" s="634">
        <v>42604</v>
      </c>
      <c r="C115" s="370">
        <v>200</v>
      </c>
      <c r="D115" s="371">
        <v>22.554099999999998</v>
      </c>
      <c r="E115" s="371">
        <v>23.69</v>
      </c>
      <c r="F115" s="371">
        <f t="shared" si="5"/>
        <v>227.1800000000006</v>
      </c>
      <c r="G115" s="371">
        <f t="shared" si="6"/>
        <v>4510.82</v>
      </c>
      <c r="H115" s="372">
        <f t="shared" si="7"/>
        <v>5.0363348570769975E-2</v>
      </c>
      <c r="I115" s="371"/>
      <c r="J115" s="371"/>
    </row>
    <row r="116" spans="2:10" x14ac:dyDescent="0.25">
      <c r="B116" s="634">
        <v>42605</v>
      </c>
      <c r="C116" s="370">
        <v>200</v>
      </c>
      <c r="D116" s="371">
        <v>22.554099999999998</v>
      </c>
      <c r="E116" s="371">
        <v>24.83</v>
      </c>
      <c r="F116" s="371">
        <f t="shared" si="5"/>
        <v>455.18</v>
      </c>
      <c r="G116" s="371">
        <f t="shared" si="6"/>
        <v>4510.82</v>
      </c>
      <c r="H116" s="372">
        <f t="shared" si="7"/>
        <v>0.10090848227151605</v>
      </c>
      <c r="I116" s="371"/>
      <c r="J116" s="371"/>
    </row>
    <row r="117" spans="2:10" x14ac:dyDescent="0.25">
      <c r="B117" s="634">
        <v>42606</v>
      </c>
      <c r="C117" s="370">
        <v>200</v>
      </c>
      <c r="D117" s="371">
        <v>22.554099999999998</v>
      </c>
      <c r="E117" s="371">
        <v>24.04</v>
      </c>
      <c r="F117" s="371">
        <f t="shared" si="5"/>
        <v>297.18000000000018</v>
      </c>
      <c r="G117" s="371">
        <f t="shared" si="6"/>
        <v>4510.82</v>
      </c>
      <c r="H117" s="372">
        <f t="shared" si="7"/>
        <v>6.588159137363056E-2</v>
      </c>
      <c r="I117" s="371"/>
      <c r="J117" s="371"/>
    </row>
    <row r="118" spans="2:10" x14ac:dyDescent="0.25">
      <c r="B118" s="634">
        <v>42607</v>
      </c>
      <c r="C118" s="370">
        <v>200</v>
      </c>
      <c r="D118" s="371">
        <v>22.554099999999998</v>
      </c>
      <c r="E118" s="371">
        <v>24.23</v>
      </c>
      <c r="F118" s="371">
        <f t="shared" si="5"/>
        <v>335.1800000000004</v>
      </c>
      <c r="G118" s="371">
        <f t="shared" si="6"/>
        <v>4510.82</v>
      </c>
      <c r="H118" s="372">
        <f t="shared" si="7"/>
        <v>7.4305780323754983E-2</v>
      </c>
      <c r="I118" s="371"/>
      <c r="J118" s="371"/>
    </row>
    <row r="119" spans="2:10" x14ac:dyDescent="0.25">
      <c r="B119" s="634">
        <v>42608</v>
      </c>
      <c r="C119" s="370">
        <v>200</v>
      </c>
      <c r="D119" s="371">
        <v>22.554099999999998</v>
      </c>
      <c r="E119" s="371">
        <v>23.98</v>
      </c>
      <c r="F119" s="371">
        <f t="shared" si="5"/>
        <v>285.1800000000004</v>
      </c>
      <c r="G119" s="371">
        <f t="shared" si="6"/>
        <v>4510.82</v>
      </c>
      <c r="H119" s="372">
        <f t="shared" si="7"/>
        <v>6.3221321178854498E-2</v>
      </c>
      <c r="I119" s="371"/>
      <c r="J119" s="371"/>
    </row>
    <row r="120" spans="2:10" x14ac:dyDescent="0.25">
      <c r="B120" s="634">
        <v>42611</v>
      </c>
      <c r="C120" s="370">
        <v>200</v>
      </c>
      <c r="D120" s="371">
        <v>22.554099999999998</v>
      </c>
      <c r="E120" s="371">
        <v>24.98</v>
      </c>
      <c r="F120" s="371">
        <f t="shared" si="5"/>
        <v>485.1800000000004</v>
      </c>
      <c r="G120" s="371">
        <f t="shared" si="6"/>
        <v>4510.82</v>
      </c>
      <c r="H120" s="372">
        <f t="shared" si="7"/>
        <v>0.10755915775845644</v>
      </c>
      <c r="I120" s="371"/>
      <c r="J120" s="371"/>
    </row>
    <row r="121" spans="2:10" x14ac:dyDescent="0.25">
      <c r="B121" s="634">
        <v>42612</v>
      </c>
      <c r="C121" s="370">
        <v>200</v>
      </c>
      <c r="D121" s="371">
        <v>22.554099999999998</v>
      </c>
      <c r="E121" s="371">
        <v>26.17</v>
      </c>
      <c r="F121" s="371">
        <f t="shared" si="5"/>
        <v>723.18000000000075</v>
      </c>
      <c r="G121" s="371">
        <f t="shared" si="6"/>
        <v>4510.82</v>
      </c>
      <c r="H121" s="372">
        <f t="shared" si="7"/>
        <v>0.16032118328818279</v>
      </c>
      <c r="I121" s="371"/>
      <c r="J121" s="371"/>
    </row>
    <row r="122" spans="2:10" x14ac:dyDescent="0.25">
      <c r="B122" s="634">
        <v>42614</v>
      </c>
      <c r="C122" s="370">
        <v>200</v>
      </c>
      <c r="D122" s="371">
        <v>22.104099999999999</v>
      </c>
      <c r="E122" s="371">
        <v>25.6</v>
      </c>
      <c r="F122" s="371">
        <f t="shared" si="5"/>
        <v>699.18000000000052</v>
      </c>
      <c r="G122" s="371">
        <f t="shared" si="6"/>
        <v>4420.82</v>
      </c>
      <c r="H122" s="372">
        <f t="shared" si="7"/>
        <v>0.15815617917038027</v>
      </c>
      <c r="I122" s="371" t="s">
        <v>185</v>
      </c>
      <c r="J122" s="371"/>
    </row>
    <row r="123" spans="2:10" x14ac:dyDescent="0.25">
      <c r="B123" s="634">
        <v>42615</v>
      </c>
      <c r="C123" s="370">
        <v>200</v>
      </c>
      <c r="D123" s="371">
        <v>22.104099999999999</v>
      </c>
      <c r="E123" s="371">
        <v>25.94</v>
      </c>
      <c r="F123" s="371">
        <f t="shared" si="5"/>
        <v>767.18000000000052</v>
      </c>
      <c r="G123" s="371">
        <f t="shared" si="6"/>
        <v>4420.82</v>
      </c>
      <c r="H123" s="372">
        <f t="shared" si="7"/>
        <v>0.17353794092498687</v>
      </c>
      <c r="I123" s="371"/>
      <c r="J123" s="371"/>
    </row>
    <row r="124" spans="2:10" x14ac:dyDescent="0.25">
      <c r="B124" s="634">
        <v>42619</v>
      </c>
      <c r="C124" s="370">
        <v>200</v>
      </c>
      <c r="D124" s="371">
        <v>22.104099999999999</v>
      </c>
      <c r="E124" s="371">
        <v>25.65</v>
      </c>
      <c r="F124" s="371">
        <f t="shared" si="5"/>
        <v>709.18</v>
      </c>
      <c r="G124" s="371">
        <f t="shared" si="6"/>
        <v>4420.82</v>
      </c>
      <c r="H124" s="372">
        <f t="shared" si="7"/>
        <v>0.1604182029578223</v>
      </c>
      <c r="I124" s="371"/>
      <c r="J124" s="371"/>
    </row>
    <row r="125" spans="2:10" x14ac:dyDescent="0.25">
      <c r="B125" s="634">
        <v>42620</v>
      </c>
      <c r="C125" s="370">
        <v>200</v>
      </c>
      <c r="D125" s="371">
        <v>22.1</v>
      </c>
      <c r="E125" s="371">
        <v>25.53</v>
      </c>
      <c r="F125" s="371">
        <f t="shared" si="5"/>
        <v>686</v>
      </c>
      <c r="G125" s="371">
        <f t="shared" si="6"/>
        <v>4420</v>
      </c>
      <c r="H125" s="372">
        <f t="shared" si="7"/>
        <v>0.15520361990950224</v>
      </c>
      <c r="I125" s="371"/>
      <c r="J125" s="371"/>
    </row>
    <row r="126" spans="2:10" x14ac:dyDescent="0.25">
      <c r="B126" s="634">
        <v>42621</v>
      </c>
      <c r="C126" s="370">
        <v>160</v>
      </c>
      <c r="D126" s="371">
        <v>21.060300000000002</v>
      </c>
      <c r="E126" s="371">
        <v>25.96</v>
      </c>
      <c r="F126" s="371">
        <f t="shared" si="5"/>
        <v>783.95199999999988</v>
      </c>
      <c r="G126" s="371">
        <f t="shared" si="6"/>
        <v>3369.6480000000001</v>
      </c>
      <c r="H126" s="372">
        <f t="shared" si="7"/>
        <v>0.23265100687074727</v>
      </c>
      <c r="I126" s="371"/>
      <c r="J126" s="371"/>
    </row>
    <row r="127" spans="2:10" x14ac:dyDescent="0.25">
      <c r="B127" s="634">
        <v>42622</v>
      </c>
      <c r="C127" s="370">
        <v>160</v>
      </c>
      <c r="D127" s="371">
        <v>21.060300000000002</v>
      </c>
      <c r="E127" s="371">
        <v>25</v>
      </c>
      <c r="F127" s="371">
        <f t="shared" si="5"/>
        <v>630.35199999999975</v>
      </c>
      <c r="G127" s="371">
        <f t="shared" si="6"/>
        <v>3369.6480000000001</v>
      </c>
      <c r="H127" s="372">
        <f t="shared" si="7"/>
        <v>0.18706761062283053</v>
      </c>
      <c r="I127" s="371"/>
      <c r="J127" s="371"/>
    </row>
    <row r="128" spans="2:10" x14ac:dyDescent="0.25">
      <c r="B128" s="634">
        <v>42625</v>
      </c>
      <c r="C128" s="370">
        <v>160</v>
      </c>
      <c r="D128" s="371">
        <v>21.060300000000002</v>
      </c>
      <c r="E128" s="371">
        <v>25.51</v>
      </c>
      <c r="F128" s="371">
        <f t="shared" si="5"/>
        <v>711.952</v>
      </c>
      <c r="G128" s="371">
        <f t="shared" si="6"/>
        <v>3369.6480000000001</v>
      </c>
      <c r="H128" s="372">
        <f t="shared" si="7"/>
        <v>0.21128378987953636</v>
      </c>
      <c r="I128" s="371"/>
      <c r="J128" s="371"/>
    </row>
    <row r="129" spans="2:10" x14ac:dyDescent="0.25">
      <c r="B129" s="634">
        <v>42626</v>
      </c>
      <c r="C129" s="370">
        <v>200</v>
      </c>
      <c r="D129" s="371">
        <v>21.764199999999999</v>
      </c>
      <c r="E129" s="371">
        <v>24.01</v>
      </c>
      <c r="F129" s="371">
        <f t="shared" si="5"/>
        <v>449.16000000000054</v>
      </c>
      <c r="G129" s="371">
        <f t="shared" si="6"/>
        <v>4352.84</v>
      </c>
      <c r="H129" s="372">
        <f t="shared" si="7"/>
        <v>0.10318780382462957</v>
      </c>
      <c r="I129" s="371" t="s">
        <v>287</v>
      </c>
      <c r="J129" s="371"/>
    </row>
    <row r="130" spans="2:10" x14ac:dyDescent="0.25">
      <c r="B130" s="634">
        <v>42632</v>
      </c>
      <c r="C130" s="370">
        <v>200</v>
      </c>
      <c r="D130" s="371">
        <v>21.764199999999999</v>
      </c>
      <c r="E130" s="371">
        <v>23.68</v>
      </c>
      <c r="F130" s="371">
        <f t="shared" si="5"/>
        <v>383.1600000000002</v>
      </c>
      <c r="G130" s="371">
        <f t="shared" si="6"/>
        <v>4352.84</v>
      </c>
      <c r="H130" s="372">
        <f t="shared" si="7"/>
        <v>8.8025289236452572E-2</v>
      </c>
      <c r="I130" s="371"/>
      <c r="J130" s="371"/>
    </row>
    <row r="131" spans="2:10" x14ac:dyDescent="0.25">
      <c r="B131" s="634">
        <v>42633</v>
      </c>
      <c r="C131" s="370">
        <v>200</v>
      </c>
      <c r="D131" s="371">
        <v>21.764199999999999</v>
      </c>
      <c r="E131" s="371">
        <v>23.3</v>
      </c>
      <c r="F131" s="371">
        <f t="shared" si="5"/>
        <v>307.16000000000037</v>
      </c>
      <c r="G131" s="371">
        <f t="shared" si="6"/>
        <v>4352.84</v>
      </c>
      <c r="H131" s="372">
        <f t="shared" si="7"/>
        <v>7.0565423953097381E-2</v>
      </c>
      <c r="I131" s="371"/>
      <c r="J131" s="371"/>
    </row>
    <row r="132" spans="2:10" x14ac:dyDescent="0.25">
      <c r="B132" s="634">
        <v>42634</v>
      </c>
      <c r="C132" s="370">
        <v>200</v>
      </c>
      <c r="D132" s="371">
        <v>21.764199999999999</v>
      </c>
      <c r="E132" s="371">
        <v>23.03</v>
      </c>
      <c r="F132" s="371">
        <f t="shared" si="5"/>
        <v>253.16000000000045</v>
      </c>
      <c r="G132" s="371">
        <f t="shared" si="6"/>
        <v>4352.84</v>
      </c>
      <c r="H132" s="372">
        <f t="shared" si="7"/>
        <v>5.8159730199134466E-2</v>
      </c>
      <c r="I132" s="371"/>
      <c r="J132" s="371"/>
    </row>
    <row r="133" spans="2:10" x14ac:dyDescent="0.25">
      <c r="B133" s="634">
        <v>42636</v>
      </c>
      <c r="C133" s="370">
        <v>200</v>
      </c>
      <c r="D133" s="371">
        <v>21.764199999999999</v>
      </c>
      <c r="E133" s="371">
        <v>22.63</v>
      </c>
      <c r="F133" s="371">
        <f t="shared" si="5"/>
        <v>173.16000000000003</v>
      </c>
      <c r="G133" s="371">
        <f t="shared" si="6"/>
        <v>4352.84</v>
      </c>
      <c r="H133" s="372">
        <f t="shared" si="7"/>
        <v>3.9780924637707805E-2</v>
      </c>
      <c r="I133" s="371"/>
      <c r="J133" s="371"/>
    </row>
    <row r="134" spans="2:10" x14ac:dyDescent="0.25">
      <c r="B134" s="634">
        <v>42639</v>
      </c>
      <c r="C134" s="370">
        <v>300</v>
      </c>
      <c r="D134" s="371">
        <v>21.936299999999999</v>
      </c>
      <c r="E134" s="371">
        <v>22.64</v>
      </c>
      <c r="F134" s="371">
        <f t="shared" si="5"/>
        <v>211.11000000000041</v>
      </c>
      <c r="G134" s="371">
        <f t="shared" si="6"/>
        <v>6580.8899999999994</v>
      </c>
      <c r="H134" s="372">
        <f t="shared" si="7"/>
        <v>3.2079247639756996E-2</v>
      </c>
      <c r="I134" s="371"/>
      <c r="J134" s="371"/>
    </row>
    <row r="135" spans="2:10" x14ac:dyDescent="0.25">
      <c r="B135" s="634">
        <v>42639</v>
      </c>
      <c r="C135" s="370">
        <v>200</v>
      </c>
      <c r="D135" s="371">
        <v>21.494499999999999</v>
      </c>
      <c r="E135" s="371">
        <v>22.64</v>
      </c>
      <c r="F135" s="371">
        <f t="shared" si="5"/>
        <v>229.10000000000039</v>
      </c>
      <c r="G135" s="371">
        <f t="shared" si="6"/>
        <v>4298.8999999999996</v>
      </c>
      <c r="H135" s="372">
        <f t="shared" si="7"/>
        <v>5.3292702784433321E-2</v>
      </c>
      <c r="I135" s="371" t="s">
        <v>288</v>
      </c>
      <c r="J135" s="371"/>
    </row>
    <row r="136" spans="2:10" x14ac:dyDescent="0.25">
      <c r="B136" s="634">
        <v>42640</v>
      </c>
      <c r="C136" s="370">
        <v>200</v>
      </c>
      <c r="D136" s="371">
        <v>21.494499999999999</v>
      </c>
      <c r="E136" s="371">
        <v>23.95</v>
      </c>
      <c r="F136" s="371">
        <f t="shared" si="5"/>
        <v>491.10000000000014</v>
      </c>
      <c r="G136" s="371">
        <f t="shared" si="6"/>
        <v>4298.8999999999996</v>
      </c>
      <c r="H136" s="372">
        <f t="shared" si="7"/>
        <v>0.11423852613459261</v>
      </c>
      <c r="I136" s="371"/>
      <c r="J136" s="371"/>
    </row>
    <row r="137" spans="2:10" x14ac:dyDescent="0.25">
      <c r="B137" s="634">
        <v>42643</v>
      </c>
      <c r="C137" s="370">
        <v>140</v>
      </c>
      <c r="D137" s="371">
        <v>20.112300000000001</v>
      </c>
      <c r="E137" s="371">
        <v>24.2</v>
      </c>
      <c r="F137" s="371">
        <f t="shared" si="5"/>
        <v>572.27799999999979</v>
      </c>
      <c r="G137" s="371">
        <f t="shared" si="6"/>
        <v>2815.7220000000002</v>
      </c>
      <c r="H137" s="372">
        <f t="shared" si="7"/>
        <v>0.2032437861408192</v>
      </c>
      <c r="I137" s="371"/>
      <c r="J137" s="371"/>
    </row>
    <row r="138" spans="2:10" x14ac:dyDescent="0.25">
      <c r="B138" s="634">
        <v>42643</v>
      </c>
      <c r="C138" s="370">
        <v>200</v>
      </c>
      <c r="D138" s="371">
        <v>21.368600000000001</v>
      </c>
      <c r="E138" s="371">
        <v>24.2</v>
      </c>
      <c r="F138" s="371">
        <f t="shared" si="5"/>
        <v>566.27999999999975</v>
      </c>
      <c r="G138" s="371">
        <f t="shared" si="6"/>
        <v>4273.72</v>
      </c>
      <c r="H138" s="372">
        <f t="shared" si="7"/>
        <v>0.13250283125707807</v>
      </c>
      <c r="I138" s="371" t="s">
        <v>288</v>
      </c>
      <c r="J138" s="371"/>
    </row>
    <row r="139" spans="2:10" x14ac:dyDescent="0.25">
      <c r="B139" s="634">
        <v>42648</v>
      </c>
      <c r="C139" s="370">
        <v>200</v>
      </c>
      <c r="D139" s="371">
        <v>21.368600000000001</v>
      </c>
      <c r="E139" s="371">
        <v>24.86</v>
      </c>
      <c r="F139" s="371">
        <f t="shared" si="5"/>
        <v>698.27999999999975</v>
      </c>
      <c r="G139" s="371">
        <f t="shared" si="6"/>
        <v>4273.72</v>
      </c>
      <c r="H139" s="372">
        <f t="shared" si="7"/>
        <v>0.16338927210954385</v>
      </c>
      <c r="I139" s="371"/>
      <c r="J139" s="371"/>
    </row>
    <row r="140" spans="2:10" x14ac:dyDescent="0.25">
      <c r="B140" s="634">
        <v>42649</v>
      </c>
      <c r="C140" s="370">
        <v>200</v>
      </c>
      <c r="D140" s="371">
        <v>21.368600000000001</v>
      </c>
      <c r="E140" s="371">
        <v>24.66</v>
      </c>
      <c r="F140" s="371">
        <f t="shared" si="5"/>
        <v>658.27999999999986</v>
      </c>
      <c r="G140" s="371">
        <f t="shared" si="6"/>
        <v>4273.72</v>
      </c>
      <c r="H140" s="372">
        <f t="shared" si="7"/>
        <v>0.15402974457849364</v>
      </c>
      <c r="I140" s="371"/>
      <c r="J140" s="371"/>
    </row>
    <row r="141" spans="2:10" x14ac:dyDescent="0.25">
      <c r="B141" s="634">
        <v>42650</v>
      </c>
      <c r="C141" s="370">
        <v>200</v>
      </c>
      <c r="D141" s="371">
        <v>21.368600000000001</v>
      </c>
      <c r="E141" s="371">
        <v>23.95</v>
      </c>
      <c r="F141" s="371">
        <f t="shared" si="5"/>
        <v>516.27999999999975</v>
      </c>
      <c r="G141" s="371">
        <f t="shared" si="6"/>
        <v>4273.72</v>
      </c>
      <c r="H141" s="372">
        <f t="shared" si="7"/>
        <v>0.12080342184326529</v>
      </c>
      <c r="I141" s="371"/>
      <c r="J141" s="371"/>
    </row>
    <row r="142" spans="2:10" x14ac:dyDescent="0.25">
      <c r="B142" s="634">
        <v>42661</v>
      </c>
      <c r="C142" s="370">
        <v>300</v>
      </c>
      <c r="D142" s="371">
        <v>21.765699999999999</v>
      </c>
      <c r="E142" s="371">
        <v>23.46</v>
      </c>
      <c r="F142" s="371">
        <f t="shared" si="5"/>
        <v>508.29000000000059</v>
      </c>
      <c r="G142" s="371">
        <f t="shared" si="6"/>
        <v>6529.71</v>
      </c>
      <c r="H142" s="372">
        <f t="shared" si="7"/>
        <v>7.7842660700092436E-2</v>
      </c>
      <c r="I142" s="371">
        <v>21.5</v>
      </c>
      <c r="J142" s="371"/>
    </row>
    <row r="143" spans="2:10" x14ac:dyDescent="0.25">
      <c r="B143" s="634">
        <v>42662</v>
      </c>
      <c r="C143" s="370">
        <v>300</v>
      </c>
      <c r="D143" s="371">
        <v>21.77</v>
      </c>
      <c r="E143" s="371">
        <v>24.15</v>
      </c>
      <c r="F143" s="371">
        <f t="shared" si="5"/>
        <v>713.99999999999966</v>
      </c>
      <c r="G143" s="371">
        <f t="shared" si="6"/>
        <v>6531</v>
      </c>
      <c r="H143" s="372">
        <f t="shared" si="7"/>
        <v>0.10932475884244369</v>
      </c>
      <c r="I143" s="371"/>
      <c r="J143" s="371"/>
    </row>
    <row r="144" spans="2:10" x14ac:dyDescent="0.25">
      <c r="B144" s="634">
        <v>42663</v>
      </c>
      <c r="C144" s="370">
        <v>260</v>
      </c>
      <c r="D144" s="371">
        <v>21.302099999999999</v>
      </c>
      <c r="E144" s="371">
        <v>24.98</v>
      </c>
      <c r="F144" s="371">
        <f t="shared" si="5"/>
        <v>956.25400000000025</v>
      </c>
      <c r="G144" s="371">
        <f t="shared" si="6"/>
        <v>5538.5460000000003</v>
      </c>
      <c r="H144" s="372">
        <f t="shared" si="7"/>
        <v>0.17265433924354881</v>
      </c>
      <c r="I144" s="371"/>
      <c r="J144" s="371"/>
    </row>
    <row r="145" spans="2:10" x14ac:dyDescent="0.25">
      <c r="B145" s="634">
        <v>42664</v>
      </c>
      <c r="C145" s="370">
        <v>260</v>
      </c>
      <c r="D145" s="371">
        <v>21.302099999999999</v>
      </c>
      <c r="E145" s="371">
        <v>25.92</v>
      </c>
      <c r="F145" s="371">
        <f t="shared" si="5"/>
        <v>1200.6540000000007</v>
      </c>
      <c r="G145" s="371">
        <f t="shared" si="6"/>
        <v>5538.5460000000003</v>
      </c>
      <c r="H145" s="372">
        <f t="shared" si="7"/>
        <v>0.21678144408297786</v>
      </c>
      <c r="I145" s="371"/>
      <c r="J145" s="371"/>
    </row>
    <row r="146" spans="2:10" x14ac:dyDescent="0.25">
      <c r="B146" s="634">
        <v>42667</v>
      </c>
      <c r="C146" s="370">
        <v>260</v>
      </c>
      <c r="D146" s="371">
        <v>21.302099999999999</v>
      </c>
      <c r="E146" s="371">
        <v>25.35</v>
      </c>
      <c r="F146" s="371">
        <f t="shared" si="5"/>
        <v>1052.4540000000006</v>
      </c>
      <c r="G146" s="371">
        <f t="shared" si="6"/>
        <v>5538.5460000000003</v>
      </c>
      <c r="H146" s="372">
        <f t="shared" si="7"/>
        <v>0.19002351880800494</v>
      </c>
      <c r="I146" s="371"/>
      <c r="J146" s="371"/>
    </row>
    <row r="147" spans="2:10" x14ac:dyDescent="0.25">
      <c r="B147" s="634">
        <v>42674</v>
      </c>
      <c r="C147" s="370">
        <v>300</v>
      </c>
      <c r="D147" s="371">
        <v>21.6828</v>
      </c>
      <c r="E147" s="371">
        <v>24.01</v>
      </c>
      <c r="F147" s="371">
        <f t="shared" si="5"/>
        <v>698.16000000000042</v>
      </c>
      <c r="G147" s="371">
        <f t="shared" si="6"/>
        <v>6504.84</v>
      </c>
      <c r="H147" s="372">
        <f t="shared" si="7"/>
        <v>0.10732931171250951</v>
      </c>
      <c r="I147" s="371">
        <v>21.5</v>
      </c>
      <c r="J147" s="371"/>
    </row>
    <row r="148" spans="2:10" x14ac:dyDescent="0.25">
      <c r="B148" s="634">
        <v>42675</v>
      </c>
      <c r="C148" s="370">
        <v>300</v>
      </c>
      <c r="D148" s="371">
        <v>21.6096</v>
      </c>
      <c r="E148" s="371">
        <v>24.89</v>
      </c>
      <c r="F148" s="371">
        <f t="shared" si="5"/>
        <v>984.12000000000012</v>
      </c>
      <c r="G148" s="371">
        <f t="shared" si="6"/>
        <v>6482.88</v>
      </c>
      <c r="H148" s="372">
        <f t="shared" si="7"/>
        <v>0.15180290241374206</v>
      </c>
      <c r="I148" s="371">
        <v>21.5</v>
      </c>
      <c r="J148" s="371"/>
    </row>
    <row r="149" spans="2:10" x14ac:dyDescent="0.25">
      <c r="B149" s="634">
        <v>42677</v>
      </c>
      <c r="C149" s="370">
        <v>340</v>
      </c>
      <c r="D149" s="371">
        <v>21.5627</v>
      </c>
      <c r="E149" s="371">
        <v>22.6</v>
      </c>
      <c r="F149" s="371">
        <f t="shared" si="5"/>
        <v>352.68200000000064</v>
      </c>
      <c r="G149" s="371">
        <f t="shared" si="6"/>
        <v>7331.3180000000002</v>
      </c>
      <c r="H149" s="372">
        <f t="shared" si="7"/>
        <v>4.8106220464042164E-2</v>
      </c>
      <c r="I149" s="371"/>
      <c r="J149" s="371"/>
    </row>
    <row r="150" spans="2:10" x14ac:dyDescent="0.25">
      <c r="B150" s="634">
        <v>42701</v>
      </c>
      <c r="C150" s="370">
        <v>240</v>
      </c>
      <c r="D150" s="371">
        <v>18.880800000000001</v>
      </c>
      <c r="E150" s="371">
        <v>28.55</v>
      </c>
      <c r="F150" s="371">
        <f t="shared" si="5"/>
        <v>2320.6080000000002</v>
      </c>
      <c r="G150" s="371">
        <f t="shared" si="6"/>
        <v>4531.3919999999998</v>
      </c>
      <c r="H150" s="372">
        <f t="shared" si="7"/>
        <v>0.51211813058768696</v>
      </c>
      <c r="I150" s="371"/>
      <c r="J150" s="371"/>
    </row>
    <row r="151" spans="2:10" x14ac:dyDescent="0.25">
      <c r="B151" s="634">
        <v>42705</v>
      </c>
      <c r="C151" s="370">
        <v>200</v>
      </c>
      <c r="D151" s="371">
        <v>16.231100000000001</v>
      </c>
      <c r="E151" s="371">
        <v>28.94</v>
      </c>
      <c r="F151" s="371">
        <f t="shared" si="5"/>
        <v>2541.7799999999997</v>
      </c>
      <c r="G151" s="371">
        <f t="shared" si="6"/>
        <v>3246.2200000000003</v>
      </c>
      <c r="H151" s="372">
        <f t="shared" si="7"/>
        <v>0.78299683940090314</v>
      </c>
      <c r="I151" s="371" t="s">
        <v>313</v>
      </c>
      <c r="J151" s="371"/>
    </row>
    <row r="152" spans="2:10" x14ac:dyDescent="0.25">
      <c r="B152" s="634">
        <v>42711</v>
      </c>
      <c r="C152" s="370">
        <v>0</v>
      </c>
      <c r="D152" s="371"/>
      <c r="E152" s="371"/>
      <c r="F152" s="371">
        <v>2733.66</v>
      </c>
      <c r="G152" s="371"/>
      <c r="H152" s="372"/>
      <c r="I152" s="371"/>
      <c r="J152" s="371"/>
    </row>
    <row r="153" spans="2:10" x14ac:dyDescent="0.25">
      <c r="B153" s="634"/>
      <c r="C153" s="370"/>
      <c r="D153" s="371"/>
      <c r="E153" s="371"/>
      <c r="F153" s="371"/>
      <c r="G153" s="371"/>
      <c r="H153" s="372"/>
      <c r="I153" s="371"/>
      <c r="J153" s="371"/>
    </row>
    <row r="154" spans="2:10" x14ac:dyDescent="0.25">
      <c r="B154" s="634">
        <v>42716</v>
      </c>
      <c r="C154" s="370">
        <v>200</v>
      </c>
      <c r="D154" s="371">
        <v>29.285</v>
      </c>
      <c r="E154" s="371">
        <v>29</v>
      </c>
      <c r="F154" s="371">
        <f t="shared" ref="F154:F161" si="8">C154*(E154-D154)</f>
        <v>-57.000000000000028</v>
      </c>
      <c r="G154" s="371">
        <f t="shared" ref="G154:G161" si="9">D154*C154</f>
        <v>5857</v>
      </c>
      <c r="H154" s="372">
        <f t="shared" ref="H154:H161" si="10">(E154-D154)/D154</f>
        <v>-9.7319446815776044E-3</v>
      </c>
      <c r="I154" s="371"/>
      <c r="J154" s="371"/>
    </row>
    <row r="155" spans="2:10" x14ac:dyDescent="0.25">
      <c r="B155" s="634">
        <v>42720</v>
      </c>
      <c r="C155" s="370">
        <v>100</v>
      </c>
      <c r="D155" s="371">
        <v>29.210599999999999</v>
      </c>
      <c r="E155" s="371">
        <v>29.48</v>
      </c>
      <c r="F155" s="371">
        <f t="shared" si="8"/>
        <v>26.940000000000097</v>
      </c>
      <c r="G155" s="371">
        <f t="shared" si="9"/>
        <v>2921.06</v>
      </c>
      <c r="H155" s="372">
        <f t="shared" si="10"/>
        <v>9.2226794382861358E-3</v>
      </c>
      <c r="I155" s="371"/>
      <c r="J155" s="371"/>
    </row>
    <row r="156" spans="2:10" x14ac:dyDescent="0.25">
      <c r="B156" s="634">
        <v>42723</v>
      </c>
      <c r="C156" s="370">
        <v>200</v>
      </c>
      <c r="D156" s="371">
        <v>28.7453</v>
      </c>
      <c r="E156" s="371">
        <v>28.29</v>
      </c>
      <c r="F156" s="371">
        <f t="shared" si="8"/>
        <v>-91.06000000000023</v>
      </c>
      <c r="G156" s="371">
        <f t="shared" si="9"/>
        <v>5749.06</v>
      </c>
      <c r="H156" s="372">
        <f t="shared" si="10"/>
        <v>-1.5839111089465101E-2</v>
      </c>
      <c r="I156" s="371"/>
      <c r="J156" s="371"/>
    </row>
    <row r="157" spans="2:10" x14ac:dyDescent="0.25">
      <c r="B157" s="634">
        <v>42724</v>
      </c>
      <c r="C157" s="370">
        <v>100</v>
      </c>
      <c r="D157" s="371">
        <v>28.511199999999999</v>
      </c>
      <c r="E157" s="371">
        <v>28.76</v>
      </c>
      <c r="F157" s="371">
        <f t="shared" si="8"/>
        <v>24.88000000000028</v>
      </c>
      <c r="G157" s="371">
        <f t="shared" si="9"/>
        <v>2851.12</v>
      </c>
      <c r="H157" s="372">
        <f t="shared" si="10"/>
        <v>8.7263952411684807E-3</v>
      </c>
      <c r="I157" s="371"/>
      <c r="J157" s="371"/>
    </row>
    <row r="158" spans="2:10" x14ac:dyDescent="0.25">
      <c r="B158" s="634">
        <v>42731</v>
      </c>
      <c r="C158" s="370">
        <v>100</v>
      </c>
      <c r="D158" s="371">
        <v>28.511199999999999</v>
      </c>
      <c r="E158" s="371">
        <v>31.95</v>
      </c>
      <c r="F158" s="371">
        <f t="shared" si="8"/>
        <v>343.88000000000005</v>
      </c>
      <c r="G158" s="371">
        <f t="shared" si="9"/>
        <v>2851.12</v>
      </c>
      <c r="H158" s="372">
        <f t="shared" si="10"/>
        <v>0.12061225062431608</v>
      </c>
      <c r="I158" s="371"/>
      <c r="J158" s="371"/>
    </row>
    <row r="159" spans="2:10" x14ac:dyDescent="0.25">
      <c r="B159" s="634">
        <v>42739</v>
      </c>
      <c r="C159" s="370">
        <v>100</v>
      </c>
      <c r="D159" s="371">
        <v>28.511199999999999</v>
      </c>
      <c r="E159" s="371">
        <v>33.04</v>
      </c>
      <c r="F159" s="371">
        <f t="shared" si="8"/>
        <v>452.88000000000005</v>
      </c>
      <c r="G159" s="371">
        <f t="shared" si="9"/>
        <v>2851.12</v>
      </c>
      <c r="H159" s="372">
        <f t="shared" si="10"/>
        <v>0.15884284070821295</v>
      </c>
      <c r="I159" s="371"/>
      <c r="J159" s="371"/>
    </row>
    <row r="160" spans="2:10" x14ac:dyDescent="0.25">
      <c r="B160" s="634">
        <v>42744</v>
      </c>
      <c r="C160" s="370">
        <v>100</v>
      </c>
      <c r="D160" s="371">
        <v>28.511199999999999</v>
      </c>
      <c r="E160" s="371">
        <v>33.770000000000003</v>
      </c>
      <c r="F160" s="371">
        <f t="shared" si="8"/>
        <v>525.88000000000045</v>
      </c>
      <c r="G160" s="371">
        <f t="shared" si="9"/>
        <v>2851.12</v>
      </c>
      <c r="H160" s="372">
        <f t="shared" si="10"/>
        <v>0.18444681388366693</v>
      </c>
      <c r="I160" s="371"/>
      <c r="J160" s="371"/>
    </row>
    <row r="161" spans="1:10" x14ac:dyDescent="0.25">
      <c r="B161" s="634">
        <v>42745</v>
      </c>
      <c r="C161" s="370">
        <v>100</v>
      </c>
      <c r="D161" s="371">
        <v>28.511199999999999</v>
      </c>
      <c r="E161" s="371">
        <v>32.729999999999997</v>
      </c>
      <c r="F161" s="371">
        <f t="shared" si="8"/>
        <v>421.87999999999982</v>
      </c>
      <c r="G161" s="371">
        <f t="shared" si="9"/>
        <v>2851.12</v>
      </c>
      <c r="H161" s="372">
        <f t="shared" si="10"/>
        <v>0.14796992059260916</v>
      </c>
      <c r="I161" s="371"/>
      <c r="J161" s="371"/>
    </row>
    <row r="162" spans="1:10" x14ac:dyDescent="0.25">
      <c r="B162" s="634"/>
      <c r="C162" s="370"/>
      <c r="D162" s="371"/>
      <c r="E162" s="371"/>
      <c r="F162" s="371"/>
      <c r="G162" s="370"/>
      <c r="H162" s="370"/>
      <c r="I162" s="371"/>
      <c r="J162" s="371"/>
    </row>
    <row r="163" spans="1:10" x14ac:dyDescent="0.25">
      <c r="B163" s="634"/>
      <c r="C163" s="370"/>
      <c r="D163" s="371"/>
      <c r="E163" s="371"/>
      <c r="F163" s="371"/>
      <c r="G163" s="370"/>
      <c r="H163" s="370"/>
      <c r="I163" s="371"/>
      <c r="J163" s="371"/>
    </row>
    <row r="164" spans="1:10" x14ac:dyDescent="0.25">
      <c r="B164" s="634"/>
      <c r="C164" s="370"/>
      <c r="D164" s="371"/>
      <c r="E164" s="371"/>
      <c r="F164" s="371"/>
      <c r="G164" s="370"/>
      <c r="H164" s="370"/>
      <c r="I164" s="371"/>
      <c r="J164" s="371"/>
    </row>
    <row r="165" spans="1:10" x14ac:dyDescent="0.25">
      <c r="B165" s="634"/>
      <c r="C165" s="370"/>
      <c r="D165" s="371"/>
      <c r="E165" s="371"/>
      <c r="F165" s="371"/>
      <c r="G165" s="370"/>
      <c r="H165" s="370"/>
      <c r="I165" s="371"/>
      <c r="J165" s="371"/>
    </row>
    <row r="166" spans="1:10" x14ac:dyDescent="0.25">
      <c r="B166" s="491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519</v>
      </c>
    </row>
    <row r="167" spans="1:10" x14ac:dyDescent="0.25">
      <c r="A167" t="s">
        <v>348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348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439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369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6">
        <v>350</v>
      </c>
      <c r="D175" s="637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6">
        <v>350</v>
      </c>
      <c r="D181" s="637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712</v>
      </c>
      <c r="J182" s="39">
        <v>2125</v>
      </c>
    </row>
    <row r="183" spans="1:10" x14ac:dyDescent="0.25">
      <c r="A183">
        <v>50</v>
      </c>
      <c r="B183" s="153">
        <v>42853</v>
      </c>
      <c r="C183" s="566">
        <v>350</v>
      </c>
      <c r="D183" s="637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713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717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748</v>
      </c>
      <c r="J193" s="39">
        <v>3384</v>
      </c>
    </row>
    <row r="194" spans="1:10" x14ac:dyDescent="0.25">
      <c r="A194">
        <v>200</v>
      </c>
      <c r="B194" s="153">
        <v>42983</v>
      </c>
      <c r="C194" s="566">
        <v>350</v>
      </c>
      <c r="D194" s="637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1002" priority="84">
      <formula>F7&gt;0</formula>
    </cfRule>
    <cfRule type="expression" dxfId="1001" priority="85">
      <formula>F7&lt;0</formula>
    </cfRule>
  </conditionalFormatting>
  <conditionalFormatting sqref="Q8">
    <cfRule type="expression" dxfId="1000" priority="82">
      <formula>Q8&gt;0</formula>
    </cfRule>
    <cfRule type="expression" dxfId="999" priority="83">
      <formula>Q8&lt;0</formula>
    </cfRule>
  </conditionalFormatting>
  <conditionalFormatting sqref="F29:F36">
    <cfRule type="expression" dxfId="998" priority="62">
      <formula>F29&gt;0</formula>
    </cfRule>
    <cfRule type="expression" dxfId="997" priority="63">
      <formula>F29&lt;0</formula>
    </cfRule>
  </conditionalFormatting>
  <conditionalFormatting sqref="J32:J38">
    <cfRule type="expression" dxfId="996" priority="57">
      <formula>J32&gt;0</formula>
    </cfRule>
    <cfRule type="expression" dxfId="995" priority="58">
      <formula>J32&lt;0</formula>
    </cfRule>
  </conditionalFormatting>
  <conditionalFormatting sqref="M42">
    <cfRule type="expression" dxfId="994" priority="55">
      <formula>M42&gt;0</formula>
    </cfRule>
    <cfRule type="expression" dxfId="993" priority="56">
      <formula>M42&lt;0</formula>
    </cfRule>
  </conditionalFormatting>
  <conditionalFormatting sqref="F98:F134 H98:H134 H137:H142 F137:F142 F144:F153 H144:H153">
    <cfRule type="expression" dxfId="992" priority="53">
      <formula>F98&gt;0</formula>
    </cfRule>
    <cfRule type="expression" dxfId="991" priority="54">
      <formula>F98&lt;0</formula>
    </cfRule>
  </conditionalFormatting>
  <conditionalFormatting sqref="F90:F97">
    <cfRule type="expression" dxfId="990" priority="51">
      <formula>F90&gt;0</formula>
    </cfRule>
    <cfRule type="expression" dxfId="989" priority="52">
      <formula>F90&lt;0</formula>
    </cfRule>
  </conditionalFormatting>
  <conditionalFormatting sqref="H90:H97">
    <cfRule type="expression" dxfId="988" priority="49">
      <formula>H90&gt;0</formula>
    </cfRule>
    <cfRule type="expression" dxfId="987" priority="50">
      <formula>H90&lt;0</formula>
    </cfRule>
  </conditionalFormatting>
  <conditionalFormatting sqref="F135:F136 H135:H136">
    <cfRule type="expression" dxfId="986" priority="47">
      <formula>F135&gt;0</formula>
    </cfRule>
    <cfRule type="expression" dxfId="985" priority="48">
      <formula>F135&lt;0</formula>
    </cfRule>
  </conditionalFormatting>
  <conditionalFormatting sqref="H143 F143">
    <cfRule type="expression" dxfId="984" priority="45">
      <formula>F143&gt;0</formula>
    </cfRule>
    <cfRule type="expression" dxfId="983" priority="46">
      <formula>F143&lt;0</formula>
    </cfRule>
  </conditionalFormatting>
  <conditionalFormatting sqref="F154:F161">
    <cfRule type="expression" dxfId="982" priority="31">
      <formula>F154&gt;0</formula>
    </cfRule>
    <cfRule type="expression" dxfId="981" priority="32">
      <formula>F154&lt;0</formula>
    </cfRule>
  </conditionalFormatting>
  <conditionalFormatting sqref="H154:H161">
    <cfRule type="expression" dxfId="980" priority="29">
      <formula>H154&gt;0</formula>
    </cfRule>
    <cfRule type="expression" dxfId="979" priority="30">
      <formula>H154&lt;0</formula>
    </cfRule>
  </conditionalFormatting>
  <conditionalFormatting sqref="Q10">
    <cfRule type="expression" dxfId="978" priority="27">
      <formula>Q10&gt;0</formula>
    </cfRule>
    <cfRule type="expression" dxfId="977" priority="28">
      <formula>Q10&lt;0</formula>
    </cfRule>
  </conditionalFormatting>
  <conditionalFormatting sqref="F37:F38">
    <cfRule type="expression" dxfId="976" priority="25">
      <formula>F37&gt;0</formula>
    </cfRule>
    <cfRule type="expression" dxfId="975" priority="26">
      <formula>F37&lt;0</formula>
    </cfRule>
  </conditionalFormatting>
  <conditionalFormatting sqref="H37:H38">
    <cfRule type="expression" dxfId="974" priority="23">
      <formula>H37&gt;0</formula>
    </cfRule>
    <cfRule type="expression" dxfId="973" priority="24">
      <formula>H37&lt;0</formula>
    </cfRule>
  </conditionalFormatting>
  <conditionalFormatting sqref="F167">
    <cfRule type="expression" dxfId="972" priority="21">
      <formula>F167&gt;0</formula>
    </cfRule>
    <cfRule type="expression" dxfId="971" priority="22">
      <formula>F167&lt;0</formula>
    </cfRule>
  </conditionalFormatting>
  <conditionalFormatting sqref="F168:F179">
    <cfRule type="expression" dxfId="970" priority="19">
      <formula>F168&gt;0</formula>
    </cfRule>
    <cfRule type="expression" dxfId="969" priority="20">
      <formula>F168&lt;0</formula>
    </cfRule>
  </conditionalFormatting>
  <conditionalFormatting sqref="H167:H179">
    <cfRule type="expression" dxfId="968" priority="17">
      <formula>H167&gt;0</formula>
    </cfRule>
    <cfRule type="expression" dxfId="967" priority="18">
      <formula>H167&lt;0</formula>
    </cfRule>
  </conditionalFormatting>
  <conditionalFormatting sqref="J175:J197 J201">
    <cfRule type="expression" dxfId="966" priority="15">
      <formula>J175&gt;0</formula>
    </cfRule>
    <cfRule type="expression" dxfId="965" priority="16">
      <formula>J175&lt;0</formula>
    </cfRule>
  </conditionalFormatting>
  <conditionalFormatting sqref="F180:F197 F201">
    <cfRule type="expression" dxfId="964" priority="13">
      <formula>F180&gt;0</formula>
    </cfRule>
    <cfRule type="expression" dxfId="963" priority="14">
      <formula>F180&lt;0</formula>
    </cfRule>
  </conditionalFormatting>
  <conditionalFormatting sqref="H180:H197 H201">
    <cfRule type="expression" dxfId="962" priority="11">
      <formula>H180&gt;0</formula>
    </cfRule>
    <cfRule type="expression" dxfId="961" priority="12">
      <formula>H180&lt;0</formula>
    </cfRule>
  </conditionalFormatting>
  <conditionalFormatting sqref="I32:J35">
    <cfRule type="expression" dxfId="960" priority="9">
      <formula>I32&gt;0</formula>
    </cfRule>
    <cfRule type="expression" dxfId="959" priority="10">
      <formula>I32&lt;0</formula>
    </cfRule>
  </conditionalFormatting>
  <conditionalFormatting sqref="F198:F200">
    <cfRule type="expression" dxfId="958" priority="7">
      <formula>F198&gt;0</formula>
    </cfRule>
    <cfRule type="expression" dxfId="957" priority="8">
      <formula>F198&lt;0</formula>
    </cfRule>
  </conditionalFormatting>
  <conditionalFormatting sqref="H198:H200">
    <cfRule type="expression" dxfId="956" priority="5">
      <formula>H198&gt;0</formula>
    </cfRule>
    <cfRule type="expression" dxfId="955" priority="6">
      <formula>H198&lt;0</formula>
    </cfRule>
  </conditionalFormatting>
  <conditionalFormatting sqref="J198:J200">
    <cfRule type="expression" dxfId="954" priority="3">
      <formula>J198&gt;0</formula>
    </cfRule>
    <cfRule type="expression" dxfId="953" priority="4">
      <formula>J198&lt;0</formula>
    </cfRule>
  </conditionalFormatting>
  <conditionalFormatting sqref="F202:F211 H202:H211 J202:J211">
    <cfRule type="expression" dxfId="952" priority="1">
      <formula>F202&gt;0</formula>
    </cfRule>
    <cfRule type="expression" dxfId="951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350</v>
      </c>
      <c r="B2" s="765"/>
      <c r="C2" s="766"/>
      <c r="D2" s="767"/>
      <c r="E2" s="767"/>
      <c r="F2" s="767"/>
      <c r="G2" s="765"/>
      <c r="H2" s="766"/>
      <c r="I2" s="767"/>
      <c r="J2" s="767"/>
      <c r="K2" s="767"/>
      <c r="L2" s="768"/>
      <c r="M2" s="767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8"/>
      <c r="C3" s="4"/>
      <c r="D3" s="3"/>
      <c r="E3" s="3"/>
      <c r="F3" s="3"/>
      <c r="G3" s="488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75.41</v>
      </c>
      <c r="T3" s="1"/>
    </row>
    <row r="4" spans="1:23" x14ac:dyDescent="0.25">
      <c r="B4" s="488"/>
      <c r="C4" s="4"/>
      <c r="D4" s="3"/>
      <c r="E4" s="3"/>
      <c r="F4" s="3"/>
      <c r="G4" s="488"/>
      <c r="H4" s="180"/>
      <c r="I4" s="3"/>
      <c r="J4" s="3"/>
      <c r="K4" s="3"/>
      <c r="L4" s="4"/>
      <c r="M4" s="4"/>
      <c r="O4" s="11" t="s">
        <v>66</v>
      </c>
      <c r="Q4" s="54">
        <v>75.41</v>
      </c>
      <c r="R4" s="506">
        <v>-2.8E-3</v>
      </c>
      <c r="T4" s="159"/>
      <c r="U4" s="1"/>
    </row>
    <row r="5" spans="1:23" x14ac:dyDescent="0.25">
      <c r="B5" s="488"/>
      <c r="C5" s="4"/>
      <c r="D5" s="3"/>
      <c r="E5" s="3"/>
      <c r="F5" s="3"/>
      <c r="G5" s="488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8"/>
      <c r="C6" s="4"/>
      <c r="D6" s="3"/>
      <c r="E6" s="3"/>
      <c r="F6" s="3"/>
      <c r="G6" s="488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8"/>
      <c r="C7" s="4"/>
      <c r="D7" s="3"/>
      <c r="E7" s="3"/>
      <c r="F7" s="3"/>
      <c r="G7" s="488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8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8"/>
      <c r="C9" s="4"/>
      <c r="D9" s="3"/>
      <c r="E9" s="3"/>
      <c r="F9" s="3"/>
      <c r="G9" s="488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8"/>
      <c r="C10" s="4"/>
      <c r="D10" s="3"/>
      <c r="E10" s="3"/>
      <c r="F10" s="3"/>
      <c r="G10" s="488"/>
      <c r="H10" s="180"/>
      <c r="I10" s="3"/>
      <c r="J10" s="3"/>
      <c r="K10" s="3"/>
      <c r="L10" s="488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8"/>
      <c r="C11" s="4"/>
      <c r="D11" s="3"/>
      <c r="E11" s="3"/>
      <c r="F11" s="3"/>
      <c r="G11" s="488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8"/>
      <c r="C12" s="4"/>
      <c r="D12" s="3"/>
      <c r="E12" s="3"/>
      <c r="F12" s="3"/>
      <c r="G12" s="488"/>
      <c r="H12" s="180"/>
      <c r="I12" s="3"/>
      <c r="J12" s="3"/>
      <c r="K12" s="3"/>
      <c r="L12" s="4"/>
      <c r="M12" s="4"/>
    </row>
    <row r="13" spans="1:23" x14ac:dyDescent="0.25">
      <c r="B13" s="488"/>
      <c r="C13" s="4"/>
      <c r="D13" s="3"/>
      <c r="E13" s="3"/>
      <c r="F13" s="3"/>
      <c r="G13" s="488"/>
      <c r="H13" s="180"/>
      <c r="I13" s="3"/>
      <c r="J13" s="3"/>
      <c r="K13" s="3"/>
      <c r="L13" s="4"/>
      <c r="M13" s="4"/>
    </row>
    <row r="14" spans="1:23" x14ac:dyDescent="0.25">
      <c r="B14" s="488"/>
      <c r="C14" s="4"/>
      <c r="D14" s="3"/>
      <c r="E14" s="3"/>
      <c r="F14" s="3"/>
      <c r="G14" s="488"/>
      <c r="H14" s="180"/>
      <c r="I14" s="3"/>
      <c r="J14" s="3"/>
      <c r="K14" s="3"/>
      <c r="L14" s="4"/>
      <c r="M14" s="4"/>
    </row>
    <row r="15" spans="1:23" x14ac:dyDescent="0.25">
      <c r="B15" s="488"/>
      <c r="C15" s="4"/>
      <c r="D15" s="3"/>
      <c r="E15" s="3"/>
      <c r="F15" s="3"/>
      <c r="G15" s="488"/>
      <c r="H15" s="180"/>
      <c r="I15" s="3"/>
      <c r="J15" s="3"/>
      <c r="K15" s="3"/>
      <c r="L15" s="4"/>
      <c r="M15" s="4"/>
      <c r="O15" s="693" t="s">
        <v>113</v>
      </c>
      <c r="P15" s="693" t="s">
        <v>728</v>
      </c>
      <c r="Q15" s="693" t="s">
        <v>729</v>
      </c>
      <c r="R15" s="691" t="s">
        <v>722</v>
      </c>
      <c r="S15" s="691" t="s">
        <v>723</v>
      </c>
      <c r="T15" s="693" t="s">
        <v>725</v>
      </c>
      <c r="U15" s="693" t="s">
        <v>726</v>
      </c>
      <c r="V15" s="691" t="s">
        <v>724</v>
      </c>
      <c r="W15" s="692" t="s">
        <v>727</v>
      </c>
    </row>
    <row r="16" spans="1:23" x14ac:dyDescent="0.25">
      <c r="G16" s="29"/>
      <c r="H16" s="70"/>
      <c r="O16" s="694">
        <v>42963</v>
      </c>
      <c r="P16" s="690" t="s">
        <v>730</v>
      </c>
      <c r="Q16" s="690"/>
      <c r="R16" s="689">
        <v>1.18</v>
      </c>
      <c r="S16" s="689">
        <v>1.23</v>
      </c>
      <c r="T16" s="690">
        <v>16.28</v>
      </c>
      <c r="U16" s="690">
        <v>16.399999999999999</v>
      </c>
      <c r="V16" s="687" t="s">
        <v>733</v>
      </c>
      <c r="W16" s="688"/>
    </row>
    <row r="17" spans="1:23" x14ac:dyDescent="0.25">
      <c r="G17" s="29"/>
      <c r="O17" s="696"/>
      <c r="P17" s="690"/>
      <c r="Q17" s="690"/>
      <c r="R17" s="689"/>
      <c r="S17" s="687"/>
      <c r="T17" s="690"/>
      <c r="U17" s="690"/>
      <c r="V17" s="687"/>
      <c r="W17" s="688"/>
    </row>
    <row r="18" spans="1:23" x14ac:dyDescent="0.25">
      <c r="A18" s="31" t="s">
        <v>81</v>
      </c>
      <c r="B18" s="489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5"/>
      <c r="P18" s="690"/>
      <c r="Q18" s="690"/>
      <c r="R18" s="687"/>
      <c r="S18" s="687"/>
      <c r="T18" s="690"/>
      <c r="U18" s="690"/>
      <c r="V18" s="687"/>
      <c r="W18" s="688"/>
    </row>
    <row r="19" spans="1:23" ht="15.75" thickBot="1" x14ac:dyDescent="0.3">
      <c r="A19" s="347" t="s">
        <v>194</v>
      </c>
      <c r="B19" s="490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5"/>
      <c r="P19" s="690"/>
      <c r="Q19" s="690"/>
      <c r="R19" s="687"/>
      <c r="S19" s="687"/>
      <c r="T19" s="690"/>
      <c r="U19" s="690"/>
      <c r="V19" s="687"/>
      <c r="W19" s="688"/>
    </row>
    <row r="20" spans="1:23" x14ac:dyDescent="0.25">
      <c r="O20" s="695"/>
      <c r="P20" s="690"/>
      <c r="Q20" s="690"/>
      <c r="R20" s="687"/>
      <c r="S20" s="687"/>
      <c r="T20" s="690"/>
      <c r="U20" s="690"/>
      <c r="V20" s="687"/>
      <c r="W20" s="688"/>
    </row>
    <row r="21" spans="1:23" x14ac:dyDescent="0.25">
      <c r="O21" s="695"/>
      <c r="P21" s="690"/>
      <c r="Q21" s="690"/>
      <c r="R21" s="687"/>
      <c r="S21" s="687"/>
      <c r="T21" s="690"/>
      <c r="U21" s="690"/>
      <c r="V21" s="687"/>
      <c r="W21" s="688"/>
    </row>
    <row r="22" spans="1:23" x14ac:dyDescent="0.25">
      <c r="O22" s="695"/>
      <c r="P22" s="690"/>
      <c r="Q22" s="690"/>
      <c r="R22" s="687"/>
      <c r="S22" s="687"/>
      <c r="T22" s="690"/>
      <c r="U22" s="690"/>
      <c r="V22" s="687"/>
      <c r="W22" s="688"/>
    </row>
    <row r="23" spans="1:23" x14ac:dyDescent="0.25">
      <c r="B23" s="491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5"/>
      <c r="P23" s="690"/>
      <c r="Q23" s="690"/>
      <c r="R23" s="687"/>
      <c r="S23" s="687"/>
      <c r="T23" s="690"/>
      <c r="U23" s="690"/>
      <c r="V23" s="687"/>
      <c r="W23" s="688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5"/>
      <c r="P24" s="690"/>
      <c r="Q24" s="690"/>
      <c r="R24" s="687"/>
      <c r="S24" s="687"/>
      <c r="T24" s="690"/>
      <c r="U24" s="690"/>
      <c r="V24" s="687"/>
      <c r="W24" s="68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5"/>
      <c r="P25" s="690"/>
      <c r="Q25" s="690"/>
      <c r="R25" s="687"/>
      <c r="S25" s="687"/>
      <c r="T25" s="690"/>
      <c r="U25" s="690"/>
      <c r="V25" s="687"/>
      <c r="W25" s="68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5"/>
      <c r="P26" s="690"/>
      <c r="Q26" s="690"/>
      <c r="R26" s="687"/>
      <c r="S26" s="687"/>
      <c r="T26" s="690"/>
      <c r="U26" s="690"/>
      <c r="V26" s="687"/>
      <c r="W26" s="68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11" t="s">
        <v>78</v>
      </c>
      <c r="P40" s="811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82.951000000000008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82.196899999999999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81.442800000000005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80.688699999999997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79.934600000000003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79.180499999999995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78.426400000000001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77.672299999999993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76.918199999999999</v>
      </c>
      <c r="Q49" s="2"/>
      <c r="T49" s="91" t="s">
        <v>103</v>
      </c>
      <c r="U49" s="127" t="s">
        <v>495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76.164099999999991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75.41</v>
      </c>
      <c r="Q51" s="2"/>
      <c r="T51" s="91" t="s">
        <v>104</v>
      </c>
      <c r="U51" s="127" t="s">
        <v>661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74.655900000000003</v>
      </c>
      <c r="Q52" s="2"/>
      <c r="T52" s="91" t="s">
        <v>105</v>
      </c>
      <c r="U52" s="127" t="s">
        <v>662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73.901799999999994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73.1477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72.393599999999992</v>
      </c>
      <c r="T55" s="91" t="s">
        <v>107</v>
      </c>
      <c r="U55" s="127" t="s">
        <v>663</v>
      </c>
    </row>
    <row r="56" spans="1:21" x14ac:dyDescent="0.25">
      <c r="O56" s="81">
        <v>0.95</v>
      </c>
      <c r="P56" s="81">
        <f t="shared" si="0"/>
        <v>71.639499999999998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70.88539999999999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70.131299999999996</v>
      </c>
      <c r="T58" s="91" t="s">
        <v>108</v>
      </c>
      <c r="U58" s="127" t="s">
        <v>568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69.377200000000002</v>
      </c>
    </row>
    <row r="60" spans="1:21" x14ac:dyDescent="0.25">
      <c r="A60" s="376" t="s">
        <v>1</v>
      </c>
      <c r="B60" s="639" t="s">
        <v>2</v>
      </c>
      <c r="C60" s="376" t="s">
        <v>4</v>
      </c>
      <c r="D60" s="378" t="s">
        <v>5</v>
      </c>
      <c r="E60" s="378" t="s">
        <v>94</v>
      </c>
      <c r="F60" s="378" t="s">
        <v>60</v>
      </c>
      <c r="G60" s="376" t="s">
        <v>3</v>
      </c>
      <c r="H60" s="376" t="s">
        <v>6</v>
      </c>
      <c r="I60" s="378" t="s">
        <v>7</v>
      </c>
      <c r="J60" s="378" t="s">
        <v>95</v>
      </c>
      <c r="K60" s="378" t="s">
        <v>61</v>
      </c>
      <c r="L60" s="376" t="s">
        <v>37</v>
      </c>
      <c r="M60" s="376" t="s">
        <v>38</v>
      </c>
      <c r="O60" s="81">
        <v>0.91</v>
      </c>
      <c r="P60" s="81">
        <f t="shared" si="0"/>
        <v>68.623099999999994</v>
      </c>
    </row>
    <row r="61" spans="1:21" x14ac:dyDescent="0.25">
      <c r="A61" s="379" t="s">
        <v>350</v>
      </c>
      <c r="B61" s="634">
        <v>42755</v>
      </c>
      <c r="C61" s="370">
        <v>30</v>
      </c>
      <c r="D61" s="371">
        <v>64.680000000000007</v>
      </c>
      <c r="E61" s="371">
        <v>0</v>
      </c>
      <c r="F61" s="371">
        <f t="shared" ref="F61:F66" si="1">D61*C61+E61</f>
        <v>1940.4</v>
      </c>
      <c r="G61" s="634">
        <v>42864</v>
      </c>
      <c r="H61" s="374">
        <v>80</v>
      </c>
      <c r="I61" s="371">
        <v>57.98</v>
      </c>
      <c r="J61" s="371">
        <v>0.1</v>
      </c>
      <c r="K61" s="371">
        <f>H61*I61-J61</f>
        <v>4638.2999999999993</v>
      </c>
      <c r="L61" s="369">
        <v>42805</v>
      </c>
      <c r="M61" s="371">
        <v>18</v>
      </c>
      <c r="O61" s="81">
        <v>0.9</v>
      </c>
      <c r="P61" s="81">
        <f t="shared" si="0"/>
        <v>67.869</v>
      </c>
    </row>
    <row r="62" spans="1:21" x14ac:dyDescent="0.25">
      <c r="A62" s="380" t="s">
        <v>71</v>
      </c>
      <c r="B62" s="634">
        <v>42797</v>
      </c>
      <c r="C62" s="370">
        <v>50</v>
      </c>
      <c r="D62" s="371">
        <v>57.38</v>
      </c>
      <c r="E62" s="371">
        <v>0</v>
      </c>
      <c r="F62" s="371">
        <f t="shared" si="1"/>
        <v>2869</v>
      </c>
      <c r="G62" s="634">
        <v>42955</v>
      </c>
      <c r="H62" s="374">
        <v>100</v>
      </c>
      <c r="I62" s="371">
        <v>58.78</v>
      </c>
      <c r="J62" s="371">
        <v>0.14000000000000001</v>
      </c>
      <c r="K62" s="371">
        <f>H62*I62-J62</f>
        <v>5877.86</v>
      </c>
      <c r="L62" s="369">
        <v>42899</v>
      </c>
      <c r="M62" s="371">
        <v>48</v>
      </c>
    </row>
    <row r="63" spans="1:21" x14ac:dyDescent="0.25">
      <c r="A63" s="370"/>
      <c r="B63" s="634">
        <v>42809</v>
      </c>
      <c r="C63" s="370">
        <v>50</v>
      </c>
      <c r="D63" s="371">
        <v>54.38</v>
      </c>
      <c r="E63" s="371">
        <v>0</v>
      </c>
      <c r="F63" s="371">
        <f t="shared" si="1"/>
        <v>2719</v>
      </c>
      <c r="G63" s="634">
        <v>42984</v>
      </c>
      <c r="H63" s="374">
        <v>80</v>
      </c>
      <c r="I63" s="371">
        <v>58.38</v>
      </c>
      <c r="J63" s="371">
        <v>0.11</v>
      </c>
      <c r="K63" s="371">
        <f>H63*I63-J63</f>
        <v>4670.2900000000009</v>
      </c>
      <c r="L63" s="370"/>
      <c r="M63" s="370"/>
    </row>
    <row r="64" spans="1:21" x14ac:dyDescent="0.25">
      <c r="A64" s="370"/>
      <c r="B64" s="634">
        <v>42866</v>
      </c>
      <c r="C64" s="370">
        <v>30</v>
      </c>
      <c r="D64" s="371">
        <v>56.25</v>
      </c>
      <c r="E64" s="371">
        <v>0</v>
      </c>
      <c r="F64" s="371">
        <f t="shared" si="1"/>
        <v>1687.5</v>
      </c>
      <c r="G64" s="634"/>
      <c r="H64" s="374"/>
      <c r="I64" s="371"/>
      <c r="J64" s="371"/>
      <c r="K64" s="371"/>
      <c r="L64" s="370"/>
      <c r="M64" s="370"/>
    </row>
    <row r="65" spans="1:13" x14ac:dyDescent="0.25">
      <c r="A65" s="370"/>
      <c r="B65" s="634">
        <v>42871</v>
      </c>
      <c r="C65" s="370">
        <v>50</v>
      </c>
      <c r="D65" s="371">
        <v>54.45</v>
      </c>
      <c r="E65" s="371">
        <v>0</v>
      </c>
      <c r="F65" s="371">
        <f t="shared" si="1"/>
        <v>2722.5</v>
      </c>
      <c r="G65" s="634"/>
      <c r="H65" s="374"/>
      <c r="I65" s="371"/>
      <c r="J65" s="371"/>
      <c r="K65" s="371"/>
      <c r="L65" s="370"/>
      <c r="M65" s="370"/>
    </row>
    <row r="66" spans="1:13" x14ac:dyDescent="0.25">
      <c r="A66" s="370"/>
      <c r="B66" s="634">
        <v>42902</v>
      </c>
      <c r="C66" s="370">
        <v>50</v>
      </c>
      <c r="D66" s="371">
        <v>49</v>
      </c>
      <c r="E66" s="371">
        <v>0</v>
      </c>
      <c r="F66" s="371">
        <f t="shared" si="1"/>
        <v>2450</v>
      </c>
      <c r="G66" s="634"/>
      <c r="H66" s="374"/>
      <c r="I66" s="371"/>
      <c r="J66" s="371"/>
      <c r="K66" s="371"/>
      <c r="L66" s="370"/>
      <c r="M66" s="370"/>
    </row>
    <row r="67" spans="1:13" x14ac:dyDescent="0.25">
      <c r="A67" s="370"/>
      <c r="B67" s="634"/>
      <c r="C67" s="370"/>
      <c r="D67" s="371"/>
      <c r="E67" s="371"/>
      <c r="F67" s="371"/>
      <c r="G67" s="634"/>
      <c r="H67" s="374"/>
      <c r="I67" s="371"/>
      <c r="J67" s="371"/>
      <c r="K67" s="371"/>
      <c r="L67" s="370"/>
      <c r="M67" s="370"/>
    </row>
    <row r="68" spans="1:13" x14ac:dyDescent="0.25">
      <c r="A68" s="370"/>
      <c r="B68" s="487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7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0"/>
      <c r="B69" s="634"/>
      <c r="C69" s="370"/>
      <c r="D69" s="371"/>
      <c r="E69" s="371"/>
      <c r="F69" s="371"/>
      <c r="G69" s="634"/>
      <c r="H69" s="374"/>
      <c r="I69" s="371"/>
      <c r="J69" s="371"/>
      <c r="K69" s="371"/>
      <c r="L69" s="634"/>
      <c r="M69" s="370"/>
    </row>
    <row r="70" spans="1:13" x14ac:dyDescent="0.25">
      <c r="A70" s="370"/>
      <c r="B70" s="488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8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0"/>
      <c r="B71" s="634"/>
      <c r="C71" s="370"/>
      <c r="D71" s="371"/>
      <c r="E71" s="371"/>
      <c r="F71" s="371"/>
      <c r="G71" s="634"/>
      <c r="H71" s="374"/>
      <c r="I71" s="371"/>
      <c r="J71" s="371"/>
      <c r="K71" s="371"/>
      <c r="L71" s="370"/>
      <c r="M71" s="370"/>
    </row>
    <row r="72" spans="1:13" x14ac:dyDescent="0.25">
      <c r="A72" s="370"/>
      <c r="B72" s="634"/>
      <c r="C72" s="370"/>
      <c r="D72" s="371"/>
      <c r="E72" s="371"/>
      <c r="F72" s="371"/>
      <c r="G72" s="634"/>
      <c r="H72" s="374"/>
      <c r="I72" s="371"/>
      <c r="J72" s="371"/>
      <c r="K72" s="371"/>
      <c r="L72" s="370"/>
      <c r="M72" s="370"/>
    </row>
    <row r="73" spans="1:13" x14ac:dyDescent="0.25">
      <c r="A73" s="370"/>
      <c r="B73" s="634"/>
      <c r="C73" s="370"/>
      <c r="D73" s="371"/>
      <c r="E73" s="371"/>
      <c r="F73" s="371"/>
      <c r="G73" s="634"/>
      <c r="H73" s="374"/>
      <c r="I73" s="371"/>
      <c r="J73" s="371"/>
      <c r="K73" s="371"/>
      <c r="L73" s="370"/>
      <c r="M73" s="370"/>
    </row>
    <row r="74" spans="1:13" x14ac:dyDescent="0.25">
      <c r="A74" s="370"/>
      <c r="B74" s="634"/>
      <c r="C74" s="370"/>
      <c r="D74" s="371"/>
      <c r="E74" s="371"/>
      <c r="F74" s="371"/>
      <c r="G74" s="634"/>
      <c r="H74" s="374"/>
      <c r="I74" s="371"/>
      <c r="J74" s="371"/>
      <c r="K74" s="371"/>
      <c r="L74" s="370"/>
      <c r="M74" s="370"/>
    </row>
    <row r="75" spans="1:13" x14ac:dyDescent="0.25">
      <c r="A75" s="370"/>
      <c r="B75" s="634"/>
      <c r="C75" s="370"/>
      <c r="D75" s="371"/>
      <c r="E75" s="371"/>
      <c r="F75" s="371"/>
      <c r="G75" s="634"/>
      <c r="H75" s="374"/>
      <c r="I75" s="371"/>
      <c r="J75" s="371"/>
      <c r="K75" s="371"/>
      <c r="L75" s="370"/>
      <c r="M75" s="370"/>
    </row>
    <row r="76" spans="1:13" x14ac:dyDescent="0.25">
      <c r="A76" s="370"/>
      <c r="B76" s="634"/>
      <c r="C76" s="370"/>
      <c r="D76" s="371"/>
      <c r="E76" s="371"/>
      <c r="F76" s="371"/>
      <c r="G76" s="634"/>
      <c r="H76" s="370"/>
      <c r="I76" s="371"/>
      <c r="J76" s="371"/>
      <c r="K76" s="371"/>
      <c r="L76" s="370"/>
      <c r="M76" s="370"/>
    </row>
    <row r="77" spans="1:13" x14ac:dyDescent="0.25">
      <c r="A77" s="21" t="s">
        <v>81</v>
      </c>
      <c r="B77" s="640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4" t="s">
        <v>194</v>
      </c>
      <c r="B78" s="641"/>
      <c r="C78" s="456">
        <f>SumByColor($A$19,C61:C76)</f>
        <v>100</v>
      </c>
      <c r="D78" s="456"/>
      <c r="E78" s="456"/>
      <c r="F78" s="457">
        <f>SumByColor($A$19,F61:F76)</f>
        <v>5750</v>
      </c>
      <c r="G78" s="456"/>
      <c r="H78" s="456">
        <f>SumByColor($A$19,H61:H76)</f>
        <v>100</v>
      </c>
      <c r="I78" s="456"/>
      <c r="J78" s="456"/>
      <c r="K78" s="457">
        <f>SumByColor($A$19,K61:K76)</f>
        <v>5998</v>
      </c>
      <c r="L78" s="456"/>
      <c r="M78" s="457">
        <f>SumByColor($A$19,M61:M76)</f>
        <v>143</v>
      </c>
    </row>
    <row r="83" spans="1:13" x14ac:dyDescent="0.25">
      <c r="A83" s="370"/>
      <c r="B83" s="632" t="s">
        <v>113</v>
      </c>
      <c r="C83" s="497" t="s">
        <v>146</v>
      </c>
      <c r="D83" s="498" t="s">
        <v>145</v>
      </c>
      <c r="E83" s="499" t="s">
        <v>147</v>
      </c>
      <c r="F83" s="499" t="s">
        <v>65</v>
      </c>
      <c r="G83" s="501" t="s">
        <v>151</v>
      </c>
      <c r="H83" s="501" t="s">
        <v>88</v>
      </c>
      <c r="I83" s="501" t="s">
        <v>154</v>
      </c>
      <c r="J83" s="501" t="s">
        <v>150</v>
      </c>
      <c r="K83" s="371"/>
      <c r="L83" s="370"/>
      <c r="M83" s="370"/>
    </row>
    <row r="84" spans="1:13" x14ac:dyDescent="0.25">
      <c r="A84" s="370"/>
      <c r="B84" s="634">
        <v>42755</v>
      </c>
      <c r="C84" s="370">
        <v>30</v>
      </c>
      <c r="D84" s="371">
        <v>64.680000000000007</v>
      </c>
      <c r="E84" s="371">
        <v>64.099999999999994</v>
      </c>
      <c r="F84" s="371">
        <f t="shared" ref="F84:F103" si="2">C84*(E84-D84)</f>
        <v>-17.400000000000375</v>
      </c>
      <c r="G84" s="371">
        <f t="shared" ref="G84:G103" si="3">D84*C84</f>
        <v>1940.4</v>
      </c>
      <c r="H84" s="718">
        <f>(E84-D84)/D84</f>
        <v>-8.9672232529377314E-3</v>
      </c>
      <c r="I84" s="371"/>
      <c r="J84" s="371"/>
      <c r="K84" s="371"/>
      <c r="L84" s="370"/>
      <c r="M84" s="370"/>
    </row>
    <row r="85" spans="1:13" x14ac:dyDescent="0.25">
      <c r="A85" s="370"/>
      <c r="B85" s="634">
        <v>42760</v>
      </c>
      <c r="C85" s="370">
        <v>30</v>
      </c>
      <c r="D85" s="371">
        <v>64.680000000000007</v>
      </c>
      <c r="E85" s="371">
        <v>65</v>
      </c>
      <c r="F85" s="371">
        <f t="shared" si="2"/>
        <v>9.5999999999997954</v>
      </c>
      <c r="G85" s="371">
        <f t="shared" si="3"/>
        <v>1940.4</v>
      </c>
      <c r="H85" s="718">
        <f t="shared" ref="H85:H103" si="4">(E85-D85)/D85</f>
        <v>4.947433518861984E-3</v>
      </c>
      <c r="I85" s="371"/>
      <c r="J85" s="371"/>
      <c r="K85" s="371"/>
      <c r="L85" s="370"/>
      <c r="M85" s="370"/>
    </row>
    <row r="86" spans="1:13" x14ac:dyDescent="0.25">
      <c r="A86" s="370"/>
      <c r="B86" s="634">
        <v>42771</v>
      </c>
      <c r="C86" s="370">
        <v>30</v>
      </c>
      <c r="D86" s="371">
        <v>64.680000000000007</v>
      </c>
      <c r="E86" s="371">
        <v>63.75</v>
      </c>
      <c r="F86" s="371">
        <f t="shared" si="2"/>
        <v>-27.900000000000205</v>
      </c>
      <c r="G86" s="371">
        <f t="shared" si="3"/>
        <v>1940.4</v>
      </c>
      <c r="H86" s="718">
        <f t="shared" si="4"/>
        <v>-1.4378478664193053E-2</v>
      </c>
      <c r="I86" s="371"/>
      <c r="J86" s="371"/>
      <c r="K86" s="371"/>
      <c r="L86" s="370"/>
      <c r="M86" s="370"/>
    </row>
    <row r="87" spans="1:13" x14ac:dyDescent="0.25">
      <c r="A87" s="370" t="s">
        <v>462</v>
      </c>
      <c r="B87" s="634">
        <v>42790</v>
      </c>
      <c r="C87" s="370">
        <v>30</v>
      </c>
      <c r="D87" s="371">
        <v>64.680000000000007</v>
      </c>
      <c r="E87" s="371">
        <v>66.510000000000005</v>
      </c>
      <c r="F87" s="371">
        <f t="shared" si="2"/>
        <v>54.899999999999949</v>
      </c>
      <c r="G87" s="371">
        <f t="shared" si="3"/>
        <v>1940.4</v>
      </c>
      <c r="H87" s="718">
        <f t="shared" si="4"/>
        <v>2.8293135435992548E-2</v>
      </c>
      <c r="I87" s="371"/>
      <c r="J87" s="371"/>
      <c r="K87" s="371"/>
      <c r="L87" s="370"/>
      <c r="M87" s="370"/>
    </row>
    <row r="88" spans="1:13" x14ac:dyDescent="0.25">
      <c r="A88" s="370" t="s">
        <v>462</v>
      </c>
      <c r="B88" s="634">
        <v>42795</v>
      </c>
      <c r="C88" s="370">
        <v>30</v>
      </c>
      <c r="D88" s="371">
        <v>64.680000000000007</v>
      </c>
      <c r="E88" s="371">
        <v>57.83</v>
      </c>
      <c r="F88" s="371">
        <f t="shared" si="2"/>
        <v>-205.50000000000026</v>
      </c>
      <c r="G88" s="371">
        <f t="shared" si="3"/>
        <v>1940.4</v>
      </c>
      <c r="H88" s="718">
        <f t="shared" si="4"/>
        <v>-0.10590599876314175</v>
      </c>
      <c r="I88" s="371"/>
      <c r="J88" s="371"/>
      <c r="K88" s="371"/>
      <c r="L88" s="370"/>
      <c r="M88" s="370"/>
    </row>
    <row r="89" spans="1:13" x14ac:dyDescent="0.25">
      <c r="A89" s="370" t="s">
        <v>488</v>
      </c>
      <c r="B89" s="634">
        <v>42798</v>
      </c>
      <c r="C89" s="370">
        <v>80</v>
      </c>
      <c r="D89" s="371">
        <v>60.1175</v>
      </c>
      <c r="E89" s="371">
        <v>57.35</v>
      </c>
      <c r="F89" s="371">
        <f t="shared" si="2"/>
        <v>-221.39999999999986</v>
      </c>
      <c r="G89" s="371">
        <f t="shared" si="3"/>
        <v>4809.3999999999996</v>
      </c>
      <c r="H89" s="718">
        <f t="shared" si="4"/>
        <v>-4.6034848421840531E-2</v>
      </c>
      <c r="I89" s="371"/>
      <c r="J89" s="371"/>
      <c r="K89" s="371"/>
      <c r="L89" s="370"/>
      <c r="M89" s="370"/>
    </row>
    <row r="90" spans="1:13" x14ac:dyDescent="0.25">
      <c r="A90" s="370">
        <v>30</v>
      </c>
      <c r="B90" s="634">
        <v>42800</v>
      </c>
      <c r="C90" s="370">
        <v>80</v>
      </c>
      <c r="D90" s="371">
        <v>60.1175</v>
      </c>
      <c r="E90" s="371">
        <v>56.1</v>
      </c>
      <c r="F90" s="371">
        <f t="shared" si="2"/>
        <v>-321.39999999999986</v>
      </c>
      <c r="G90" s="371">
        <f t="shared" si="3"/>
        <v>4809.3999999999996</v>
      </c>
      <c r="H90" s="718">
        <f t="shared" si="4"/>
        <v>-6.6827462885183153E-2</v>
      </c>
      <c r="I90" s="371"/>
      <c r="J90" s="371"/>
      <c r="K90" s="371"/>
      <c r="L90" s="370"/>
      <c r="M90" s="370"/>
    </row>
    <row r="91" spans="1:13" x14ac:dyDescent="0.25">
      <c r="A91" s="370">
        <v>30</v>
      </c>
      <c r="B91" s="634">
        <v>42805</v>
      </c>
      <c r="C91" s="370">
        <v>80</v>
      </c>
      <c r="D91" s="371">
        <v>59.892499999999998</v>
      </c>
      <c r="E91" s="371">
        <v>55.36</v>
      </c>
      <c r="F91" s="371">
        <f t="shared" si="2"/>
        <v>-362.59999999999991</v>
      </c>
      <c r="G91" s="371">
        <f t="shared" si="3"/>
        <v>4791.3999999999996</v>
      </c>
      <c r="H91" s="718">
        <f t="shared" si="4"/>
        <v>-7.5677255082021944E-2</v>
      </c>
      <c r="I91" s="371"/>
      <c r="J91" s="371"/>
      <c r="K91" s="371"/>
      <c r="L91" s="370"/>
      <c r="M91" s="370"/>
    </row>
    <row r="92" spans="1:13" x14ac:dyDescent="0.25">
      <c r="A92" s="370">
        <v>30</v>
      </c>
      <c r="B92" s="634">
        <v>42808</v>
      </c>
      <c r="C92" s="370">
        <v>80</v>
      </c>
      <c r="D92" s="371">
        <v>59.892499999999998</v>
      </c>
      <c r="E92" s="371">
        <v>54.75</v>
      </c>
      <c r="F92" s="371">
        <f t="shared" si="2"/>
        <v>-411.39999999999986</v>
      </c>
      <c r="G92" s="371">
        <f t="shared" si="3"/>
        <v>4791.3999999999996</v>
      </c>
      <c r="H92" s="718">
        <f t="shared" si="4"/>
        <v>-8.5862169720749656E-2</v>
      </c>
      <c r="I92" s="371"/>
      <c r="J92" s="371"/>
      <c r="K92" s="371"/>
      <c r="L92" s="370"/>
      <c r="M92" s="370"/>
    </row>
    <row r="93" spans="1:13" x14ac:dyDescent="0.25">
      <c r="A93" s="370">
        <v>30</v>
      </c>
      <c r="B93" s="634">
        <v>42809</v>
      </c>
      <c r="C93" s="370">
        <v>130</v>
      </c>
      <c r="D93" s="371">
        <v>57.772300000000001</v>
      </c>
      <c r="E93" s="371">
        <v>54.57</v>
      </c>
      <c r="F93" s="371">
        <f t="shared" si="2"/>
        <v>-416.29900000000015</v>
      </c>
      <c r="G93" s="371">
        <f t="shared" si="3"/>
        <v>7510.3990000000003</v>
      </c>
      <c r="H93" s="718">
        <f t="shared" si="4"/>
        <v>-5.5429678236802081E-2</v>
      </c>
      <c r="I93" s="371"/>
      <c r="J93" s="371"/>
      <c r="K93" s="371"/>
      <c r="L93" s="370"/>
      <c r="M93" s="370"/>
    </row>
    <row r="94" spans="1:13" x14ac:dyDescent="0.25">
      <c r="A94" s="370">
        <v>130</v>
      </c>
      <c r="B94" s="634">
        <v>42862</v>
      </c>
      <c r="C94" s="370">
        <v>130</v>
      </c>
      <c r="D94" s="371">
        <v>57.77</v>
      </c>
      <c r="E94" s="371">
        <v>57.32</v>
      </c>
      <c r="F94" s="371">
        <f t="shared" si="2"/>
        <v>-58.500000000000369</v>
      </c>
      <c r="G94" s="371">
        <f t="shared" si="3"/>
        <v>7510.1</v>
      </c>
      <c r="H94" s="718">
        <f t="shared" si="4"/>
        <v>-7.7895101263632128E-3</v>
      </c>
      <c r="I94" s="371"/>
      <c r="J94" s="371"/>
      <c r="K94" s="371"/>
      <c r="L94" s="370"/>
      <c r="M94" s="370"/>
    </row>
    <row r="95" spans="1:13" x14ac:dyDescent="0.25">
      <c r="A95" s="370">
        <v>50</v>
      </c>
      <c r="B95" s="634">
        <v>42864</v>
      </c>
      <c r="C95" s="370">
        <v>50</v>
      </c>
      <c r="D95" s="371">
        <v>57.442</v>
      </c>
      <c r="E95" s="371">
        <v>58.01</v>
      </c>
      <c r="F95" s="371">
        <f t="shared" si="2"/>
        <v>28.399999999999892</v>
      </c>
      <c r="G95" s="371">
        <f t="shared" si="3"/>
        <v>2872.1</v>
      </c>
      <c r="H95" s="718">
        <f t="shared" si="4"/>
        <v>9.8882350893074369E-3</v>
      </c>
      <c r="I95" s="371"/>
      <c r="J95" s="371"/>
      <c r="K95" s="371"/>
      <c r="L95" s="370"/>
      <c r="M95" s="370"/>
    </row>
    <row r="96" spans="1:13" x14ac:dyDescent="0.25">
      <c r="A96" s="370">
        <v>50</v>
      </c>
      <c r="B96" s="634">
        <v>42866</v>
      </c>
      <c r="C96" s="370">
        <v>80</v>
      </c>
      <c r="D96" s="371">
        <v>56.994999999999997</v>
      </c>
      <c r="E96" s="371">
        <v>56.06</v>
      </c>
      <c r="F96" s="371">
        <f t="shared" si="2"/>
        <v>-74.799999999999613</v>
      </c>
      <c r="G96" s="371">
        <f t="shared" si="3"/>
        <v>4559.5999999999995</v>
      </c>
      <c r="H96" s="718">
        <f t="shared" si="4"/>
        <v>-1.6404947802438726E-2</v>
      </c>
      <c r="I96" s="371"/>
      <c r="J96" s="371"/>
      <c r="K96" s="371"/>
      <c r="L96" s="370"/>
      <c r="M96" s="370"/>
    </row>
    <row r="97" spans="1:13" x14ac:dyDescent="0.25">
      <c r="A97" s="370">
        <v>50</v>
      </c>
      <c r="B97" s="634">
        <v>42871</v>
      </c>
      <c r="C97" s="370">
        <v>130</v>
      </c>
      <c r="D97" s="371">
        <v>56.015999999999998</v>
      </c>
      <c r="E97" s="371">
        <v>54.53</v>
      </c>
      <c r="F97" s="371">
        <f t="shared" si="2"/>
        <v>-193.17999999999961</v>
      </c>
      <c r="G97" s="371">
        <f t="shared" si="3"/>
        <v>7282.08</v>
      </c>
      <c r="H97" s="718">
        <f t="shared" si="4"/>
        <v>-2.6528134818623199E-2</v>
      </c>
      <c r="I97" s="371"/>
      <c r="J97" s="371"/>
      <c r="K97" s="371"/>
      <c r="L97" s="370"/>
      <c r="M97" s="370"/>
    </row>
    <row r="98" spans="1:13" x14ac:dyDescent="0.25">
      <c r="A98" s="370">
        <v>80</v>
      </c>
      <c r="B98" s="634">
        <v>42899</v>
      </c>
      <c r="C98" s="370">
        <v>130</v>
      </c>
      <c r="D98" s="371">
        <v>55.646900000000002</v>
      </c>
      <c r="E98" s="371">
        <v>57.38</v>
      </c>
      <c r="F98" s="371">
        <f t="shared" si="2"/>
        <v>225.30300000000005</v>
      </c>
      <c r="G98" s="371">
        <f t="shared" si="3"/>
        <v>7234.0970000000007</v>
      </c>
      <c r="H98" s="718">
        <f t="shared" si="4"/>
        <v>3.1144592061732104E-2</v>
      </c>
      <c r="I98" s="371"/>
      <c r="J98" s="371"/>
      <c r="K98" s="371"/>
      <c r="L98" s="370"/>
      <c r="M98" s="370"/>
    </row>
    <row r="99" spans="1:13" x14ac:dyDescent="0.25">
      <c r="A99" s="370">
        <v>130</v>
      </c>
      <c r="B99" s="634">
        <v>42904</v>
      </c>
      <c r="C99" s="370">
        <v>180</v>
      </c>
      <c r="D99" s="371">
        <v>53.8</v>
      </c>
      <c r="E99" s="371">
        <v>52.61</v>
      </c>
      <c r="F99" s="371">
        <f t="shared" si="2"/>
        <v>-214.19999999999959</v>
      </c>
      <c r="G99" s="371">
        <f t="shared" si="3"/>
        <v>9684</v>
      </c>
      <c r="H99" s="718">
        <f t="shared" si="4"/>
        <v>-2.211895910780665E-2</v>
      </c>
      <c r="I99" s="371"/>
      <c r="J99" s="371"/>
      <c r="K99" s="371"/>
      <c r="L99" s="370"/>
      <c r="M99" s="370"/>
    </row>
    <row r="100" spans="1:13" x14ac:dyDescent="0.25">
      <c r="A100" s="370"/>
      <c r="B100" s="634">
        <v>42943</v>
      </c>
      <c r="C100" s="370">
        <v>180</v>
      </c>
      <c r="D100" s="371">
        <v>53.8</v>
      </c>
      <c r="E100" s="371">
        <v>56.05</v>
      </c>
      <c r="F100" s="371">
        <f t="shared" si="2"/>
        <v>405</v>
      </c>
      <c r="G100" s="371">
        <f t="shared" si="3"/>
        <v>9684</v>
      </c>
      <c r="H100" s="718">
        <f t="shared" si="4"/>
        <v>4.1821561338289966E-2</v>
      </c>
      <c r="I100" s="371"/>
      <c r="J100" s="371"/>
      <c r="K100" s="371"/>
      <c r="L100" s="370"/>
      <c r="M100" s="370"/>
    </row>
    <row r="101" spans="1:13" x14ac:dyDescent="0.25">
      <c r="A101" s="370">
        <v>80</v>
      </c>
      <c r="B101" s="634">
        <v>42955</v>
      </c>
      <c r="C101" s="370">
        <v>80</v>
      </c>
      <c r="D101" s="371">
        <v>47.578000000000003</v>
      </c>
      <c r="E101" s="371">
        <v>58.74</v>
      </c>
      <c r="F101" s="371">
        <f t="shared" si="2"/>
        <v>892.95999999999992</v>
      </c>
      <c r="G101" s="371">
        <f t="shared" si="3"/>
        <v>3806.2400000000002</v>
      </c>
      <c r="H101" s="718">
        <f t="shared" si="4"/>
        <v>0.23460422884526458</v>
      </c>
      <c r="I101" s="371"/>
      <c r="J101" s="371"/>
      <c r="K101" s="371"/>
      <c r="L101" s="370"/>
      <c r="M101" s="370"/>
    </row>
    <row r="102" spans="1:13" x14ac:dyDescent="0.25">
      <c r="A102" s="370">
        <v>80</v>
      </c>
      <c r="B102" s="634">
        <v>42956</v>
      </c>
      <c r="C102" s="370">
        <v>180</v>
      </c>
      <c r="D102" s="371">
        <v>53.09</v>
      </c>
      <c r="E102" s="371">
        <v>57.87</v>
      </c>
      <c r="F102" s="371">
        <f t="shared" si="2"/>
        <v>860.39999999999895</v>
      </c>
      <c r="G102" s="371">
        <f t="shared" si="3"/>
        <v>9556.2000000000007</v>
      </c>
      <c r="H102" s="718">
        <f t="shared" si="4"/>
        <v>9.0035788284045848E-2</v>
      </c>
      <c r="I102" s="371"/>
      <c r="J102" s="371"/>
      <c r="K102" s="371"/>
      <c r="L102" s="370"/>
      <c r="M102" s="370"/>
    </row>
    <row r="103" spans="1:13" x14ac:dyDescent="0.25">
      <c r="A103" s="369">
        <v>42989</v>
      </c>
      <c r="B103" s="634">
        <v>42984</v>
      </c>
      <c r="C103" s="370">
        <v>100</v>
      </c>
      <c r="D103" s="371">
        <v>48.859499999999997</v>
      </c>
      <c r="E103" s="371">
        <v>58.14</v>
      </c>
      <c r="F103" s="371">
        <f t="shared" si="2"/>
        <v>928.05000000000041</v>
      </c>
      <c r="G103" s="371">
        <f t="shared" si="3"/>
        <v>4885.95</v>
      </c>
      <c r="H103" s="718">
        <f t="shared" si="4"/>
        <v>0.18994259048905543</v>
      </c>
      <c r="I103" s="371"/>
      <c r="J103" s="371"/>
      <c r="K103" s="371"/>
      <c r="L103" s="370"/>
      <c r="M103" s="370"/>
    </row>
    <row r="104" spans="1:13" x14ac:dyDescent="0.25">
      <c r="A104" s="370"/>
      <c r="B104" s="634"/>
      <c r="C104" s="370"/>
      <c r="D104" s="371"/>
      <c r="E104" s="371"/>
      <c r="F104" s="371"/>
      <c r="G104" s="370"/>
      <c r="H104" s="370"/>
      <c r="I104" s="371"/>
      <c r="J104" s="371"/>
      <c r="K104" s="371"/>
      <c r="L104" s="370"/>
      <c r="M104" s="370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1"/>
      <c r="L105" s="370"/>
      <c r="M105" s="370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1"/>
      <c r="L106" s="370"/>
      <c r="M106" s="370"/>
    </row>
    <row r="107" spans="1:13" x14ac:dyDescent="0.25">
      <c r="A107" s="370"/>
      <c r="B107" s="634"/>
      <c r="C107" s="370"/>
      <c r="D107" s="371"/>
      <c r="E107" s="371"/>
      <c r="F107" s="371"/>
      <c r="G107" s="370"/>
      <c r="H107" s="718"/>
      <c r="I107" s="371"/>
      <c r="J107" s="371"/>
      <c r="K107" s="371"/>
      <c r="L107" s="370"/>
      <c r="M107" s="370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1"/>
      <c r="L108" s="370"/>
      <c r="M108" s="370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1"/>
      <c r="L109" s="370"/>
      <c r="M109" s="370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1"/>
      <c r="L110" s="370"/>
      <c r="M110" s="370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1"/>
      <c r="L111" s="370"/>
      <c r="M111" s="370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1"/>
      <c r="L112" s="370"/>
      <c r="M112" s="370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1"/>
      <c r="L113" s="370"/>
      <c r="M113" s="370"/>
    </row>
    <row r="114" spans="1:13" x14ac:dyDescent="0.25">
      <c r="A114" s="370"/>
      <c r="B114" s="634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634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634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950" priority="76">
      <formula>Q7&gt;0</formula>
    </cfRule>
    <cfRule type="expression" dxfId="949" priority="77">
      <formula>Q7&lt;0</formula>
    </cfRule>
  </conditionalFormatting>
  <conditionalFormatting sqref="Q8">
    <cfRule type="expression" dxfId="948" priority="74">
      <formula>Q8&gt;0</formula>
    </cfRule>
    <cfRule type="expression" dxfId="947" priority="75">
      <formula>Q8&lt;0</formula>
    </cfRule>
  </conditionalFormatting>
  <conditionalFormatting sqref="F29:F43">
    <cfRule type="expression" dxfId="946" priority="58">
      <formula>F29&gt;0</formula>
    </cfRule>
    <cfRule type="expression" dxfId="945" priority="59">
      <formula>F29&lt;0</formula>
    </cfRule>
  </conditionalFormatting>
  <conditionalFormatting sqref="H45 H47:H48 H50:H51 H53 H29:H43">
    <cfRule type="expression" dxfId="944" priority="56">
      <formula>H29&gt;0</formula>
    </cfRule>
    <cfRule type="expression" dxfId="943" priority="57">
      <formula>H29&lt;0</formula>
    </cfRule>
  </conditionalFormatting>
  <conditionalFormatting sqref="J35">
    <cfRule type="expression" dxfId="942" priority="52">
      <formula>J35&gt;0</formula>
    </cfRule>
    <cfRule type="expression" dxfId="941" priority="53">
      <formula>J35&lt;0</formula>
    </cfRule>
  </conditionalFormatting>
  <conditionalFormatting sqref="J36:J37">
    <cfRule type="expression" dxfId="940" priority="50">
      <formula>J36&gt;0</formula>
    </cfRule>
    <cfRule type="expression" dxfId="939" priority="51">
      <formula>J36&lt;0</formula>
    </cfRule>
  </conditionalFormatting>
  <conditionalFormatting sqref="J38:J45 J48 J51">
    <cfRule type="expression" dxfId="938" priority="48">
      <formula>J38&gt;0</formula>
    </cfRule>
    <cfRule type="expression" dxfId="937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936" priority="45">
      <formula>M59&gt;0</formula>
    </cfRule>
    <cfRule type="expression" dxfId="935" priority="46">
      <formula>M59&lt;0</formula>
    </cfRule>
  </conditionalFormatting>
  <conditionalFormatting sqref="Q10">
    <cfRule type="expression" dxfId="934" priority="43">
      <formula>Q10&gt;0</formula>
    </cfRule>
    <cfRule type="expression" dxfId="933" priority="44">
      <formula>Q10&lt;0</formula>
    </cfRule>
  </conditionalFormatting>
  <conditionalFormatting sqref="F84:F103">
    <cfRule type="expression" dxfId="932" priority="41">
      <formula>F84&gt;0</formula>
    </cfRule>
    <cfRule type="expression" dxfId="931" priority="42">
      <formula>F84&lt;0</formula>
    </cfRule>
  </conditionalFormatting>
  <conditionalFormatting sqref="H107 H84:H103">
    <cfRule type="expression" dxfId="930" priority="39">
      <formula>H84&gt;0</formula>
    </cfRule>
    <cfRule type="expression" dxfId="929" priority="40">
      <formula>H84&lt;0</formula>
    </cfRule>
  </conditionalFormatting>
  <conditionalFormatting sqref="J89">
    <cfRule type="expression" dxfId="928" priority="37">
      <formula>J89&gt;0</formula>
    </cfRule>
    <cfRule type="expression" dxfId="927" priority="38">
      <formula>J89&lt;0</formula>
    </cfRule>
  </conditionalFormatting>
  <conditionalFormatting sqref="J90:J95">
    <cfRule type="expression" dxfId="926" priority="35">
      <formula>J90&gt;0</formula>
    </cfRule>
    <cfRule type="expression" dxfId="925" priority="36">
      <formula>J90&lt;0</formula>
    </cfRule>
  </conditionalFormatting>
  <conditionalFormatting sqref="J96:J97">
    <cfRule type="expression" dxfId="924" priority="33">
      <formula>J96&gt;0</formula>
    </cfRule>
    <cfRule type="expression" dxfId="923" priority="34">
      <formula>J96&lt;0</formula>
    </cfRule>
  </conditionalFormatting>
  <conditionalFormatting sqref="J98:J104">
    <cfRule type="expression" dxfId="922" priority="31">
      <formula>J98&gt;0</formula>
    </cfRule>
    <cfRule type="expression" dxfId="921" priority="32">
      <formula>J98&lt;0</formula>
    </cfRule>
  </conditionalFormatting>
  <conditionalFormatting sqref="J25">
    <cfRule type="expression" dxfId="920" priority="27">
      <formula>J25&gt;0</formula>
    </cfRule>
    <cfRule type="expression" dxfId="919" priority="28">
      <formula>J25&lt;0</formula>
    </cfRule>
  </conditionalFormatting>
  <conditionalFormatting sqref="F105:F106">
    <cfRule type="expression" dxfId="918" priority="25">
      <formula>F105&gt;0</formula>
    </cfRule>
    <cfRule type="expression" dxfId="917" priority="26">
      <formula>F105&lt;0</formula>
    </cfRule>
  </conditionalFormatting>
  <conditionalFormatting sqref="H105:H106">
    <cfRule type="expression" dxfId="916" priority="23">
      <formula>H105&gt;0</formula>
    </cfRule>
    <cfRule type="expression" dxfId="915" priority="24">
      <formula>H105&lt;0</formula>
    </cfRule>
  </conditionalFormatting>
  <conditionalFormatting sqref="J105">
    <cfRule type="expression" dxfId="914" priority="21">
      <formula>J105&gt;0</formula>
    </cfRule>
    <cfRule type="expression" dxfId="913" priority="22">
      <formula>J105&lt;0</formula>
    </cfRule>
  </conditionalFormatting>
  <conditionalFormatting sqref="J106">
    <cfRule type="expression" dxfId="912" priority="19">
      <formula>J106&gt;0</formula>
    </cfRule>
    <cfRule type="expression" dxfId="911" priority="20">
      <formula>J106&lt;0</formula>
    </cfRule>
  </conditionalFormatting>
  <conditionalFormatting sqref="F24:F28">
    <cfRule type="expression" dxfId="910" priority="17">
      <formula>F24&gt;0</formula>
    </cfRule>
    <cfRule type="expression" dxfId="909" priority="18">
      <formula>F24&lt;0</formula>
    </cfRule>
  </conditionalFormatting>
  <conditionalFormatting sqref="H24:H28">
    <cfRule type="expression" dxfId="908" priority="15">
      <formula>H24&gt;0</formula>
    </cfRule>
    <cfRule type="expression" dxfId="907" priority="16">
      <formula>H24&lt;0</formula>
    </cfRule>
  </conditionalFormatting>
  <conditionalFormatting sqref="J26:J34">
    <cfRule type="expression" dxfId="906" priority="13">
      <formula>J26&gt;0</formula>
    </cfRule>
    <cfRule type="expression" dxfId="905" priority="14">
      <formula>J26&lt;0</formula>
    </cfRule>
  </conditionalFormatting>
  <conditionalFormatting sqref="F113">
    <cfRule type="expression" dxfId="904" priority="11">
      <formula>F113&gt;0</formula>
    </cfRule>
    <cfRule type="expression" dxfId="903" priority="12">
      <formula>F113&lt;0</formula>
    </cfRule>
  </conditionalFormatting>
  <conditionalFormatting sqref="H113">
    <cfRule type="expression" dxfId="902" priority="9">
      <formula>H113&gt;0</formula>
    </cfRule>
    <cfRule type="expression" dxfId="901" priority="10">
      <formula>H113&lt;0</formula>
    </cfRule>
  </conditionalFormatting>
  <conditionalFormatting sqref="J109">
    <cfRule type="expression" dxfId="900" priority="7">
      <formula>J109&gt;0</formula>
    </cfRule>
    <cfRule type="expression" dxfId="899" priority="8">
      <formula>J109&lt;0</formula>
    </cfRule>
  </conditionalFormatting>
  <conditionalFormatting sqref="F108:F112">
    <cfRule type="expression" dxfId="898" priority="5">
      <formula>F108&gt;0</formula>
    </cfRule>
    <cfRule type="expression" dxfId="897" priority="6">
      <formula>F108&lt;0</formula>
    </cfRule>
  </conditionalFormatting>
  <conditionalFormatting sqref="H108:H112">
    <cfRule type="expression" dxfId="896" priority="3">
      <formula>H108&gt;0</formula>
    </cfRule>
    <cfRule type="expression" dxfId="895" priority="4">
      <formula>H108&lt;0</formula>
    </cfRule>
  </conditionalFormatting>
  <conditionalFormatting sqref="J110:J113">
    <cfRule type="expression" dxfId="894" priority="1">
      <formula>J110&gt;0</formula>
    </cfRule>
    <cfRule type="expression" dxfId="893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4">
        <v>43047</v>
      </c>
      <c r="H2" s="80">
        <v>120</v>
      </c>
      <c r="I2" s="43">
        <v>31.31</v>
      </c>
      <c r="J2" s="43">
        <v>0.09</v>
      </c>
      <c r="K2" s="43">
        <f t="shared" ref="K2:K8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25.69</v>
      </c>
      <c r="R4" s="486">
        <v>-4.6800000000000001E-2</v>
      </c>
      <c r="T4" s="1">
        <v>43096</v>
      </c>
      <c r="U4" t="s">
        <v>833</v>
      </c>
    </row>
    <row r="5" spans="1:29" x14ac:dyDescent="0.25">
      <c r="B5" s="44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7193.2000000000007</v>
      </c>
      <c r="U5" t="s">
        <v>834</v>
      </c>
    </row>
    <row r="6" spans="1:29" x14ac:dyDescent="0.25">
      <c r="B6" s="44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835</v>
      </c>
    </row>
    <row r="7" spans="1:29" x14ac:dyDescent="0.25">
      <c r="B7" s="44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-3306.1099999999938</v>
      </c>
      <c r="R7">
        <v>280</v>
      </c>
      <c r="U7" t="s">
        <v>836</v>
      </c>
    </row>
    <row r="8" spans="1:29" x14ac:dyDescent="0.25">
      <c r="B8" s="44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-3381.1299999999937</v>
      </c>
      <c r="U8" t="s">
        <v>837</v>
      </c>
    </row>
    <row r="9" spans="1:29" x14ac:dyDescent="0.25">
      <c r="B9" s="44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-0.31974886352137633</v>
      </c>
    </row>
    <row r="10" spans="1:29" x14ac:dyDescent="0.25">
      <c r="B10" s="44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885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3.5811599844297388E-2</v>
      </c>
      <c r="R11">
        <f>0.23</f>
        <v>0.23</v>
      </c>
      <c r="U11" t="s">
        <v>887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916</v>
      </c>
    </row>
    <row r="13" spans="1:29" x14ac:dyDescent="0.25">
      <c r="B13" s="444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912</v>
      </c>
    </row>
    <row r="14" spans="1:29" x14ac:dyDescent="0.25">
      <c r="B14" s="72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913</v>
      </c>
    </row>
    <row r="15" spans="1:29" x14ac:dyDescent="0.25">
      <c r="C15" s="4"/>
      <c r="D15" s="3"/>
      <c r="E15" s="3"/>
      <c r="F15" s="3"/>
      <c r="U15" s="486" t="s">
        <v>915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953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968</v>
      </c>
    </row>
    <row r="20" spans="1:21" x14ac:dyDescent="0.25">
      <c r="T20" s="1">
        <v>43126</v>
      </c>
      <c r="U20" t="s">
        <v>966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513</v>
      </c>
      <c r="U21" t="s">
        <v>967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970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914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826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886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911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A42">
        <v>100</v>
      </c>
      <c r="B42" s="188">
        <v>43142</v>
      </c>
      <c r="C42" s="10">
        <v>280</v>
      </c>
      <c r="D42" s="39">
        <v>37.770000000000003</v>
      </c>
      <c r="E42" s="39">
        <v>27.61</v>
      </c>
      <c r="F42" s="39">
        <f t="shared" ref="F42" si="12">C42*(E42-D42)</f>
        <v>-2844.8000000000011</v>
      </c>
      <c r="G42" s="39">
        <f t="shared" ref="G42" si="13">D42*C42</f>
        <v>10575.6</v>
      </c>
      <c r="H42" s="227">
        <f t="shared" ref="H42" si="14">(E42-D42)/D42</f>
        <v>-0.26899655811490608</v>
      </c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A43">
        <v>280</v>
      </c>
      <c r="B43" s="188">
        <v>43143</v>
      </c>
      <c r="C43" s="10">
        <v>280</v>
      </c>
      <c r="D43" s="39">
        <v>37.770000000000003</v>
      </c>
      <c r="E43" s="39">
        <v>26.96</v>
      </c>
      <c r="F43" s="39">
        <f t="shared" ref="F43" si="15">C43*(E43-D43)</f>
        <v>-3026.8000000000006</v>
      </c>
      <c r="G43" s="39">
        <f t="shared" ref="G43" si="16">D43*C43</f>
        <v>10575.6</v>
      </c>
      <c r="H43" s="227">
        <f t="shared" ref="H43" si="17">(E43-D43)/D43</f>
        <v>-0.28620598358485572</v>
      </c>
      <c r="I43" s="39"/>
      <c r="J43" s="39"/>
      <c r="O43" s="81">
        <v>1.1000000000000001</v>
      </c>
      <c r="P43" s="81">
        <f>O43*$Q$4</f>
        <v>28.259000000000004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8">O44*$Q$4</f>
        <v>28.002100000000002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8"/>
        <v>27.745200000000004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8"/>
        <v>27.488300000000002</v>
      </c>
      <c r="Q46" s="81"/>
      <c r="R46" s="33"/>
      <c r="T46" s="91" t="s">
        <v>100</v>
      </c>
      <c r="U46" s="86" t="s">
        <v>128</v>
      </c>
    </row>
    <row r="47" spans="1:21" x14ac:dyDescent="0.25">
      <c r="A47" s="376" t="s">
        <v>1</v>
      </c>
      <c r="B47" s="376" t="s">
        <v>2</v>
      </c>
      <c r="C47" s="376" t="s">
        <v>4</v>
      </c>
      <c r="D47" s="378" t="s">
        <v>5</v>
      </c>
      <c r="E47" s="378" t="s">
        <v>94</v>
      </c>
      <c r="F47" s="378" t="s">
        <v>60</v>
      </c>
      <c r="G47" s="376" t="s">
        <v>3</v>
      </c>
      <c r="H47" s="376" t="s">
        <v>6</v>
      </c>
      <c r="I47" s="378" t="s">
        <v>7</v>
      </c>
      <c r="J47" s="378" t="s">
        <v>95</v>
      </c>
      <c r="K47" s="378" t="s">
        <v>61</v>
      </c>
      <c r="L47" s="376" t="s">
        <v>77</v>
      </c>
      <c r="M47" s="376" t="s">
        <v>38</v>
      </c>
      <c r="O47" s="81">
        <v>1.06</v>
      </c>
      <c r="P47" s="81">
        <f t="shared" si="18"/>
        <v>27.231400000000004</v>
      </c>
      <c r="Q47" s="81"/>
      <c r="R47" s="33"/>
      <c r="T47" s="91" t="s">
        <v>101</v>
      </c>
      <c r="U47" s="86">
        <v>57.29</v>
      </c>
    </row>
    <row r="48" spans="1:21" x14ac:dyDescent="0.25">
      <c r="A48" s="379" t="s">
        <v>174</v>
      </c>
      <c r="B48" s="369">
        <v>42376</v>
      </c>
      <c r="C48" s="370">
        <v>60</v>
      </c>
      <c r="D48" s="371">
        <v>41.01</v>
      </c>
      <c r="E48" s="371">
        <v>0</v>
      </c>
      <c r="F48" s="371">
        <f>C48*D48</f>
        <v>2460.6</v>
      </c>
      <c r="G48" s="369">
        <v>42426</v>
      </c>
      <c r="H48" s="374">
        <v>20</v>
      </c>
      <c r="I48" s="371">
        <v>38.450000000000003</v>
      </c>
      <c r="J48" s="371">
        <v>0.02</v>
      </c>
      <c r="K48" s="371">
        <f>H48*I48-J48</f>
        <v>768.98</v>
      </c>
      <c r="L48" s="369">
        <v>42444</v>
      </c>
      <c r="M48" s="371">
        <v>15.2</v>
      </c>
      <c r="O48" s="81">
        <v>1.05</v>
      </c>
      <c r="P48" s="81">
        <f t="shared" si="18"/>
        <v>26.974500000000003</v>
      </c>
      <c r="Q48" s="81"/>
      <c r="R48" s="33"/>
      <c r="T48" s="91" t="s">
        <v>102</v>
      </c>
      <c r="U48" s="86">
        <v>1.14788</v>
      </c>
    </row>
    <row r="49" spans="1:21" x14ac:dyDescent="0.25">
      <c r="A49" s="380" t="s">
        <v>71</v>
      </c>
      <c r="B49" s="369">
        <v>42403</v>
      </c>
      <c r="C49" s="370">
        <v>20</v>
      </c>
      <c r="D49" s="371">
        <v>35.5</v>
      </c>
      <c r="E49" s="371">
        <v>0</v>
      </c>
      <c r="F49" s="371">
        <f>C49*D49</f>
        <v>710</v>
      </c>
      <c r="G49" s="369">
        <v>42426</v>
      </c>
      <c r="H49" s="374">
        <v>30</v>
      </c>
      <c r="I49" s="371">
        <v>38.75</v>
      </c>
      <c r="J49" s="371">
        <v>0.03</v>
      </c>
      <c r="K49" s="371">
        <f>H49*I49-J49</f>
        <v>1162.47</v>
      </c>
      <c r="L49" s="370"/>
      <c r="M49" s="370"/>
      <c r="O49" s="81">
        <v>1.04</v>
      </c>
      <c r="P49" s="81">
        <f t="shared" si="18"/>
        <v>26.717600000000001</v>
      </c>
      <c r="Q49" s="81"/>
      <c r="R49" s="33"/>
      <c r="T49" s="91" t="s">
        <v>103</v>
      </c>
      <c r="U49" s="86" t="s">
        <v>569</v>
      </c>
    </row>
    <row r="50" spans="1:21" x14ac:dyDescent="0.25">
      <c r="A50" s="370"/>
      <c r="B50" s="370"/>
      <c r="C50" s="370"/>
      <c r="D50" s="371"/>
      <c r="E50" s="371"/>
      <c r="F50" s="371"/>
      <c r="G50" s="369">
        <v>42447</v>
      </c>
      <c r="H50" s="374">
        <v>30</v>
      </c>
      <c r="I50" s="371">
        <v>43.3</v>
      </c>
      <c r="J50" s="371">
        <v>0.03</v>
      </c>
      <c r="K50" s="371">
        <f>H50*I50-J50</f>
        <v>1298.97</v>
      </c>
      <c r="L50" s="370"/>
      <c r="M50" s="370"/>
      <c r="O50" s="81">
        <v>1.03</v>
      </c>
      <c r="P50" s="81">
        <f t="shared" si="18"/>
        <v>26.460700000000003</v>
      </c>
      <c r="Q50" s="81"/>
      <c r="R50" s="33"/>
      <c r="T50" s="91"/>
      <c r="U50" s="86"/>
    </row>
    <row r="51" spans="1:21" x14ac:dyDescent="0.25">
      <c r="A51" s="370"/>
      <c r="B51" s="370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18"/>
        <v>26.203800000000001</v>
      </c>
      <c r="Q51" s="81"/>
      <c r="R51" s="33"/>
      <c r="T51" s="91" t="s">
        <v>104</v>
      </c>
      <c r="U51" s="86" t="s">
        <v>664</v>
      </c>
    </row>
    <row r="52" spans="1:21" x14ac:dyDescent="0.25">
      <c r="A52" s="370"/>
      <c r="B52" s="370"/>
      <c r="C52" s="370"/>
      <c r="D52" s="371"/>
      <c r="E52" s="371"/>
      <c r="F52" s="371"/>
      <c r="G52" s="370"/>
      <c r="H52" s="370"/>
      <c r="I52" s="371"/>
      <c r="J52" s="371"/>
      <c r="K52" s="371"/>
      <c r="L52" s="370"/>
      <c r="M52" s="370"/>
      <c r="O52" s="81">
        <v>1.01</v>
      </c>
      <c r="P52" s="81">
        <f t="shared" si="18"/>
        <v>25.946900000000003</v>
      </c>
      <c r="Q52" s="81"/>
      <c r="R52" s="33"/>
      <c r="T52" s="91" t="s">
        <v>105</v>
      </c>
      <c r="U52" s="86" t="s">
        <v>543</v>
      </c>
    </row>
    <row r="53" spans="1:21" x14ac:dyDescent="0.25">
      <c r="A53" s="370"/>
      <c r="B53" s="370"/>
      <c r="C53" s="370"/>
      <c r="D53" s="371"/>
      <c r="E53" s="371"/>
      <c r="F53" s="371"/>
      <c r="G53" s="370"/>
      <c r="H53" s="370"/>
      <c r="I53" s="371"/>
      <c r="J53" s="371"/>
      <c r="K53" s="371"/>
      <c r="L53" s="370"/>
      <c r="M53" s="370"/>
      <c r="O53" s="81">
        <v>1</v>
      </c>
      <c r="P53" s="81">
        <f t="shared" si="18"/>
        <v>25.69</v>
      </c>
      <c r="Q53" s="81"/>
      <c r="R53" s="33"/>
      <c r="T53" s="91" t="s">
        <v>106</v>
      </c>
      <c r="U53" s="88">
        <v>3463916</v>
      </c>
    </row>
    <row r="54" spans="1:21" x14ac:dyDescent="0.25">
      <c r="A54" s="370"/>
      <c r="B54" s="370"/>
      <c r="C54" s="370"/>
      <c r="D54" s="371"/>
      <c r="E54" s="371"/>
      <c r="F54" s="371"/>
      <c r="G54" s="370"/>
      <c r="H54" s="370"/>
      <c r="I54" s="371"/>
      <c r="J54" s="371"/>
      <c r="K54" s="371"/>
      <c r="L54" s="370"/>
      <c r="M54" s="370"/>
      <c r="O54" s="81">
        <v>0.99</v>
      </c>
      <c r="P54" s="81">
        <f t="shared" si="18"/>
        <v>25.4331</v>
      </c>
      <c r="Q54" s="81"/>
      <c r="R54" s="33"/>
      <c r="T54" s="91" t="s">
        <v>109</v>
      </c>
      <c r="U54" s="88">
        <v>4068010</v>
      </c>
    </row>
    <row r="55" spans="1:21" x14ac:dyDescent="0.25">
      <c r="A55" s="370"/>
      <c r="B55" s="370"/>
      <c r="C55" s="370"/>
      <c r="D55" s="371"/>
      <c r="E55" s="371"/>
      <c r="F55" s="371"/>
      <c r="G55" s="370"/>
      <c r="H55" s="370"/>
      <c r="I55" s="371"/>
      <c r="J55" s="371"/>
      <c r="K55" s="371"/>
      <c r="L55" s="370"/>
      <c r="M55" s="370"/>
      <c r="O55" s="81">
        <v>0.98</v>
      </c>
      <c r="P55" s="81">
        <f t="shared" si="18"/>
        <v>25.176200000000001</v>
      </c>
      <c r="Q55" s="81"/>
      <c r="T55" s="91" t="s">
        <v>107</v>
      </c>
      <c r="U55" s="86" t="s">
        <v>665</v>
      </c>
    </row>
    <row r="56" spans="1:21" x14ac:dyDescent="0.25">
      <c r="A56" s="370"/>
      <c r="B56" s="370"/>
      <c r="C56" s="370"/>
      <c r="D56" s="371"/>
      <c r="E56" s="371"/>
      <c r="F56" s="371"/>
      <c r="G56" s="370"/>
      <c r="H56" s="370"/>
      <c r="I56" s="371"/>
      <c r="J56" s="371"/>
      <c r="K56" s="371"/>
      <c r="L56" s="370"/>
      <c r="M56" s="370"/>
      <c r="O56" s="81">
        <v>0.97</v>
      </c>
      <c r="P56" s="81">
        <f t="shared" si="18"/>
        <v>24.9193</v>
      </c>
      <c r="Q56" s="81"/>
      <c r="T56" s="91" t="s">
        <v>110</v>
      </c>
      <c r="U56" s="86">
        <v>36.78</v>
      </c>
    </row>
    <row r="57" spans="1:21" x14ac:dyDescent="0.25">
      <c r="A57" s="370"/>
      <c r="B57" s="370"/>
      <c r="C57" s="370"/>
      <c r="D57" s="371"/>
      <c r="E57" s="371"/>
      <c r="F57" s="371"/>
      <c r="G57" s="370"/>
      <c r="H57" s="370"/>
      <c r="I57" s="371"/>
      <c r="J57" s="371"/>
      <c r="K57" s="371"/>
      <c r="L57" s="370"/>
      <c r="M57" s="370"/>
      <c r="O57" s="81">
        <v>0.96</v>
      </c>
      <c r="P57" s="81">
        <f t="shared" si="18"/>
        <v>24.662400000000002</v>
      </c>
      <c r="Q57" s="81"/>
      <c r="T57" s="91" t="s">
        <v>111</v>
      </c>
      <c r="U57" s="86">
        <v>1.25</v>
      </c>
    </row>
    <row r="58" spans="1:21" x14ac:dyDescent="0.25">
      <c r="A58" s="370"/>
      <c r="B58" s="370"/>
      <c r="C58" s="370"/>
      <c r="D58" s="371"/>
      <c r="E58" s="371"/>
      <c r="F58" s="371"/>
      <c r="G58" s="370"/>
      <c r="H58" s="370"/>
      <c r="I58" s="371"/>
      <c r="J58" s="371"/>
      <c r="K58" s="371"/>
      <c r="L58" s="370"/>
      <c r="M58" s="370"/>
      <c r="O58" s="81">
        <v>0.95</v>
      </c>
      <c r="P58" s="81">
        <f t="shared" si="18"/>
        <v>24.4055</v>
      </c>
      <c r="Q58" s="81"/>
      <c r="T58" s="91" t="s">
        <v>108</v>
      </c>
      <c r="U58" s="86" t="s">
        <v>570</v>
      </c>
    </row>
    <row r="59" spans="1:21" x14ac:dyDescent="0.25">
      <c r="A59" s="370"/>
      <c r="B59" s="370"/>
      <c r="C59" s="370"/>
      <c r="D59" s="371"/>
      <c r="E59" s="371"/>
      <c r="F59" s="371"/>
      <c r="G59" s="370"/>
      <c r="H59" s="370"/>
      <c r="I59" s="371"/>
      <c r="J59" s="371"/>
      <c r="K59" s="371"/>
      <c r="L59" s="370"/>
      <c r="M59" s="370"/>
      <c r="O59" s="81">
        <v>0.94</v>
      </c>
      <c r="P59" s="81">
        <f t="shared" si="18"/>
        <v>24.148599999999998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8"/>
        <v>23.891700000000004</v>
      </c>
      <c r="Q60" s="81"/>
    </row>
    <row r="61" spans="1:21" x14ac:dyDescent="0.25">
      <c r="G61" s="2"/>
      <c r="O61" s="81">
        <v>0.92</v>
      </c>
      <c r="P61" s="81">
        <f t="shared" si="18"/>
        <v>23.634800000000002</v>
      </c>
      <c r="Q61" s="81"/>
    </row>
    <row r="62" spans="1:21" x14ac:dyDescent="0.25">
      <c r="O62" s="81">
        <v>0.91</v>
      </c>
      <c r="P62" s="81">
        <f t="shared" si="18"/>
        <v>23.3779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8"/>
        <v>23.121000000000002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9">C67*(E67-D67)</f>
        <v>-94.799999999999898</v>
      </c>
      <c r="G67" s="255">
        <f t="shared" ref="G67:G73" si="20">D67*C67</f>
        <v>2401.8000000000002</v>
      </c>
      <c r="H67" s="269">
        <f t="shared" ref="H67:H73" si="21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9"/>
        <v>-86.100000000000136</v>
      </c>
      <c r="G68" s="255">
        <f t="shared" si="20"/>
        <v>1239.3000000000002</v>
      </c>
      <c r="H68" s="267">
        <f t="shared" si="21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9"/>
        <v>-54.000000000000128</v>
      </c>
      <c r="G69" s="255">
        <f t="shared" si="20"/>
        <v>1239.3000000000002</v>
      </c>
      <c r="H69" s="267">
        <f t="shared" si="21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9"/>
        <v>-29.849999999999923</v>
      </c>
      <c r="G70" s="255">
        <f t="shared" si="20"/>
        <v>1239.1500000000001</v>
      </c>
      <c r="H70" s="267">
        <f t="shared" si="21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9"/>
        <v>-9.7500000000000853</v>
      </c>
      <c r="G71" s="255">
        <f t="shared" si="20"/>
        <v>1239.1500000000001</v>
      </c>
      <c r="H71" s="267">
        <f t="shared" si="21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9"/>
        <v>-51.449999999999889</v>
      </c>
      <c r="G72" s="255">
        <f t="shared" si="20"/>
        <v>1239.1500000000001</v>
      </c>
      <c r="H72" s="267">
        <f t="shared" si="21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9"/>
        <v>1.9499999999999318</v>
      </c>
      <c r="G73" s="255">
        <f t="shared" si="20"/>
        <v>1239.1500000000001</v>
      </c>
      <c r="H73" s="267">
        <f t="shared" si="21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881" priority="61">
      <formula>F26&gt;0</formula>
    </cfRule>
    <cfRule type="expression" dxfId="880" priority="62">
      <formula>F26&lt;0</formula>
    </cfRule>
  </conditionalFormatting>
  <conditionalFormatting sqref="H26:H28">
    <cfRule type="expression" dxfId="879" priority="59">
      <formula>H26&gt;0</formula>
    </cfRule>
    <cfRule type="expression" dxfId="878" priority="60">
      <formula>H26&lt;0</formula>
    </cfRule>
  </conditionalFormatting>
  <conditionalFormatting sqref="H29">
    <cfRule type="expression" dxfId="877" priority="57">
      <formula>H29&gt;0</formula>
    </cfRule>
    <cfRule type="expression" dxfId="876" priority="58">
      <formula>H29&lt;0</formula>
    </cfRule>
  </conditionalFormatting>
  <conditionalFormatting sqref="H30">
    <cfRule type="expression" dxfId="875" priority="55">
      <formula>H30&gt;0</formula>
    </cfRule>
    <cfRule type="expression" dxfId="874" priority="56">
      <formula>H30&lt;0</formula>
    </cfRule>
  </conditionalFormatting>
  <conditionalFormatting sqref="H31:H45">
    <cfRule type="expression" dxfId="873" priority="53">
      <formula>H31&gt;0</formula>
    </cfRule>
    <cfRule type="expression" dxfId="872" priority="54">
      <formula>H31&lt;0</formula>
    </cfRule>
  </conditionalFormatting>
  <conditionalFormatting sqref="F22:F25">
    <cfRule type="expression" dxfId="871" priority="51">
      <formula>F22&gt;0</formula>
    </cfRule>
    <cfRule type="expression" dxfId="870" priority="52">
      <formula>F22&lt;0</formula>
    </cfRule>
  </conditionalFormatting>
  <conditionalFormatting sqref="H22:H25">
    <cfRule type="expression" dxfId="869" priority="49">
      <formula>H22&gt;0</formula>
    </cfRule>
    <cfRule type="expression" dxfId="868" priority="50">
      <formula>H22&lt;0</formula>
    </cfRule>
  </conditionalFormatting>
  <conditionalFormatting sqref="F31:F32">
    <cfRule type="expression" dxfId="867" priority="45">
      <formula>F31&gt;0</formula>
    </cfRule>
    <cfRule type="expression" dxfId="866" priority="46">
      <formula>F31&lt;0</formula>
    </cfRule>
  </conditionalFormatting>
  <conditionalFormatting sqref="I26:J28">
    <cfRule type="expression" dxfId="865" priority="43">
      <formula>I26&gt;0</formula>
    </cfRule>
    <cfRule type="expression" dxfId="864" priority="44">
      <formula>I26&lt;0</formula>
    </cfRule>
  </conditionalFormatting>
  <conditionalFormatting sqref="I32:J33 I35:I40 I42:J45">
    <cfRule type="expression" dxfId="863" priority="37">
      <formula>I32&gt;0</formula>
    </cfRule>
    <cfRule type="expression" dxfId="862" priority="38">
      <formula>I32&lt;0</formula>
    </cfRule>
  </conditionalFormatting>
  <conditionalFormatting sqref="I22:J25">
    <cfRule type="expression" dxfId="861" priority="35">
      <formula>I22&gt;0</formula>
    </cfRule>
    <cfRule type="expression" dxfId="860" priority="36">
      <formula>I22&lt;0</formula>
    </cfRule>
  </conditionalFormatting>
  <conditionalFormatting sqref="F33:F43">
    <cfRule type="expression" dxfId="859" priority="33">
      <formula>F33&gt;0</formula>
    </cfRule>
    <cfRule type="expression" dxfId="858" priority="34">
      <formula>F33&lt;0</formula>
    </cfRule>
  </conditionalFormatting>
  <conditionalFormatting sqref="Q8">
    <cfRule type="expression" dxfId="857" priority="29">
      <formula>Q8&gt;0</formula>
    </cfRule>
    <cfRule type="expression" dxfId="856" priority="30">
      <formula>Q8&lt;0</formula>
    </cfRule>
  </conditionalFormatting>
  <conditionalFormatting sqref="Q7">
    <cfRule type="expression" dxfId="855" priority="31">
      <formula>Q7&gt;0</formula>
    </cfRule>
    <cfRule type="expression" dxfId="854" priority="32">
      <formula>Q7&lt;0</formula>
    </cfRule>
  </conditionalFormatting>
  <conditionalFormatting sqref="F68:F72">
    <cfRule type="expression" dxfId="853" priority="27">
      <formula>F68&gt;0</formula>
    </cfRule>
    <cfRule type="expression" dxfId="852" priority="28">
      <formula>F68&lt;0</formula>
    </cfRule>
  </conditionalFormatting>
  <conditionalFormatting sqref="H68:H70">
    <cfRule type="expression" dxfId="851" priority="25">
      <formula>H68&gt;0</formula>
    </cfRule>
    <cfRule type="expression" dxfId="850" priority="26">
      <formula>H68&lt;0</formula>
    </cfRule>
  </conditionalFormatting>
  <conditionalFormatting sqref="H71">
    <cfRule type="expression" dxfId="849" priority="23">
      <formula>H71&gt;0</formula>
    </cfRule>
    <cfRule type="expression" dxfId="848" priority="24">
      <formula>H71&lt;0</formula>
    </cfRule>
  </conditionalFormatting>
  <conditionalFormatting sqref="H72">
    <cfRule type="expression" dxfId="847" priority="21">
      <formula>H72&gt;0</formula>
    </cfRule>
    <cfRule type="expression" dxfId="846" priority="22">
      <formula>H72&lt;0</formula>
    </cfRule>
  </conditionalFormatting>
  <conditionalFormatting sqref="H73:H77">
    <cfRule type="expression" dxfId="845" priority="19">
      <formula>H73&gt;0</formula>
    </cfRule>
    <cfRule type="expression" dxfId="844" priority="20">
      <formula>H73&lt;0</formula>
    </cfRule>
  </conditionalFormatting>
  <conditionalFormatting sqref="F64:F67">
    <cfRule type="expression" dxfId="843" priority="17">
      <formula>F64&gt;0</formula>
    </cfRule>
    <cfRule type="expression" dxfId="842" priority="18">
      <formula>F64&lt;0</formula>
    </cfRule>
  </conditionalFormatting>
  <conditionalFormatting sqref="H64:H67">
    <cfRule type="expression" dxfId="841" priority="15">
      <formula>H64&gt;0</formula>
    </cfRule>
    <cfRule type="expression" dxfId="840" priority="16">
      <formula>H64&lt;0</formula>
    </cfRule>
  </conditionalFormatting>
  <conditionalFormatting sqref="F73:F74">
    <cfRule type="expression" dxfId="839" priority="13">
      <formula>F73&gt;0</formula>
    </cfRule>
    <cfRule type="expression" dxfId="838" priority="14">
      <formula>F73&lt;0</formula>
    </cfRule>
  </conditionalFormatting>
  <conditionalFormatting sqref="I68:I70">
    <cfRule type="expression" dxfId="837" priority="11">
      <formula>I68&gt;0</formula>
    </cfRule>
    <cfRule type="expression" dxfId="836" priority="12">
      <formula>I68&lt;0</formula>
    </cfRule>
  </conditionalFormatting>
  <conditionalFormatting sqref="I71">
    <cfRule type="expression" dxfId="835" priority="9">
      <formula>I71&gt;0</formula>
    </cfRule>
    <cfRule type="expression" dxfId="834" priority="10">
      <formula>I71&lt;0</formula>
    </cfRule>
  </conditionalFormatting>
  <conditionalFormatting sqref="I72">
    <cfRule type="expression" dxfId="833" priority="7">
      <formula>I72&gt;0</formula>
    </cfRule>
    <cfRule type="expression" dxfId="832" priority="8">
      <formula>I72&lt;0</formula>
    </cfRule>
  </conditionalFormatting>
  <conditionalFormatting sqref="I73:I77">
    <cfRule type="expression" dxfId="831" priority="5">
      <formula>I73&gt;0</formula>
    </cfRule>
    <cfRule type="expression" dxfId="830" priority="6">
      <formula>I73&lt;0</formula>
    </cfRule>
  </conditionalFormatting>
  <conditionalFormatting sqref="I64:I67">
    <cfRule type="expression" dxfId="829" priority="3">
      <formula>I64&gt;0</formula>
    </cfRule>
    <cfRule type="expression" dxfId="828" priority="4">
      <formula>I64&lt;0</formula>
    </cfRule>
  </conditionalFormatting>
  <conditionalFormatting sqref="F75">
    <cfRule type="expression" dxfId="827" priority="1">
      <formula>F75&gt;0</formula>
    </cfRule>
    <cfRule type="expression" dxfId="826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62.93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62.93</v>
      </c>
      <c r="R4" s="486">
        <v>-1.0999999999999999E-2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6" t="s">
        <v>1</v>
      </c>
      <c r="B31" s="376" t="s">
        <v>2</v>
      </c>
      <c r="C31" s="376" t="s">
        <v>4</v>
      </c>
      <c r="D31" s="378" t="s">
        <v>5</v>
      </c>
      <c r="E31" s="378" t="s">
        <v>94</v>
      </c>
      <c r="F31" s="378" t="s">
        <v>60</v>
      </c>
      <c r="G31" s="376" t="s">
        <v>3</v>
      </c>
      <c r="H31" s="376" t="s">
        <v>6</v>
      </c>
      <c r="I31" s="378" t="s">
        <v>7</v>
      </c>
      <c r="J31" s="378" t="s">
        <v>95</v>
      </c>
      <c r="K31" s="378" t="s">
        <v>61</v>
      </c>
      <c r="L31" s="376" t="s">
        <v>77</v>
      </c>
      <c r="M31" s="376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9" t="s">
        <v>24</v>
      </c>
      <c r="B32" s="369">
        <v>42156</v>
      </c>
      <c r="C32" s="370">
        <v>5</v>
      </c>
      <c r="D32" s="371">
        <v>48.55</v>
      </c>
      <c r="E32" s="371">
        <v>0</v>
      </c>
      <c r="F32" s="371">
        <f>C32*D32</f>
        <v>242.75</v>
      </c>
      <c r="G32" s="369">
        <v>42186</v>
      </c>
      <c r="H32" s="370">
        <v>100</v>
      </c>
      <c r="I32" s="371">
        <v>44.99</v>
      </c>
      <c r="J32" s="371">
        <v>0.08</v>
      </c>
      <c r="K32" s="371">
        <f>H32*I32-J32</f>
        <v>4498.92</v>
      </c>
      <c r="L32" s="370" t="s">
        <v>80</v>
      </c>
      <c r="M32" s="370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0" t="s">
        <v>71</v>
      </c>
      <c r="B33" s="369">
        <v>42156</v>
      </c>
      <c r="C33" s="370">
        <v>5</v>
      </c>
      <c r="D33" s="371">
        <v>47.01</v>
      </c>
      <c r="E33" s="371">
        <v>0</v>
      </c>
      <c r="F33" s="371">
        <f t="shared" ref="F33:F44" si="2">C33*D33</f>
        <v>235.04999999999998</v>
      </c>
      <c r="G33" s="369">
        <v>42227</v>
      </c>
      <c r="H33" s="370">
        <v>100</v>
      </c>
      <c r="I33" s="371">
        <v>43</v>
      </c>
      <c r="J33" s="371">
        <v>0.08</v>
      </c>
      <c r="K33" s="371">
        <f>H33*I33-J33</f>
        <v>4299.92</v>
      </c>
      <c r="L33" s="370"/>
      <c r="M33" s="370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0"/>
      <c r="B34" s="369">
        <v>42156</v>
      </c>
      <c r="C34" s="370">
        <v>10</v>
      </c>
      <c r="D34" s="371">
        <v>46.5</v>
      </c>
      <c r="E34" s="371">
        <v>0</v>
      </c>
      <c r="F34" s="371">
        <f t="shared" si="2"/>
        <v>465</v>
      </c>
      <c r="G34" s="369">
        <v>42312</v>
      </c>
      <c r="H34" s="374">
        <v>40</v>
      </c>
      <c r="I34" s="371">
        <v>42.5</v>
      </c>
      <c r="J34" s="371">
        <v>0.03</v>
      </c>
      <c r="K34" s="371">
        <f>H34*I34-J34</f>
        <v>1699.97</v>
      </c>
      <c r="L34" s="370"/>
      <c r="M34" s="370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0"/>
      <c r="B35" s="369">
        <v>42156</v>
      </c>
      <c r="C35" s="370">
        <v>50</v>
      </c>
      <c r="D35" s="371">
        <v>45.95</v>
      </c>
      <c r="E35" s="371">
        <v>0</v>
      </c>
      <c r="F35" s="371">
        <f t="shared" si="2"/>
        <v>2297.5</v>
      </c>
      <c r="G35" s="369">
        <v>42318</v>
      </c>
      <c r="H35" s="374">
        <v>14</v>
      </c>
      <c r="I35" s="371">
        <v>43.5</v>
      </c>
      <c r="J35" s="371">
        <v>0.01</v>
      </c>
      <c r="K35" s="371">
        <f t="shared" ref="K35:K42" si="3">H35*I35-J35</f>
        <v>608.99</v>
      </c>
      <c r="L35" s="370"/>
      <c r="M35" s="370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0"/>
      <c r="B36" s="369">
        <v>42156</v>
      </c>
      <c r="C36" s="370">
        <v>30</v>
      </c>
      <c r="D36" s="371">
        <v>45.95</v>
      </c>
      <c r="E36" s="371">
        <v>0</v>
      </c>
      <c r="F36" s="371">
        <f t="shared" si="2"/>
        <v>1378.5</v>
      </c>
      <c r="G36" s="369">
        <v>42318</v>
      </c>
      <c r="H36" s="374">
        <v>26</v>
      </c>
      <c r="I36" s="371">
        <v>43.78</v>
      </c>
      <c r="J36" s="371">
        <v>0.02</v>
      </c>
      <c r="K36" s="371">
        <f t="shared" si="3"/>
        <v>1138.26</v>
      </c>
      <c r="L36" s="370"/>
      <c r="M36" s="370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0"/>
      <c r="B37" s="369">
        <v>42186</v>
      </c>
      <c r="C37" s="370">
        <v>100</v>
      </c>
      <c r="D37" s="371">
        <v>44.9</v>
      </c>
      <c r="E37" s="371">
        <v>0</v>
      </c>
      <c r="F37" s="371">
        <f t="shared" si="2"/>
        <v>4490</v>
      </c>
      <c r="G37" s="369">
        <v>42320</v>
      </c>
      <c r="H37" s="374">
        <v>10</v>
      </c>
      <c r="I37" s="371">
        <v>43.9</v>
      </c>
      <c r="J37" s="371">
        <v>0.01</v>
      </c>
      <c r="K37" s="371">
        <f t="shared" si="3"/>
        <v>438.99</v>
      </c>
      <c r="L37" s="370"/>
      <c r="M37" s="370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0"/>
      <c r="B38" s="369">
        <v>42206</v>
      </c>
      <c r="C38" s="370">
        <v>20</v>
      </c>
      <c r="D38" s="371">
        <v>41.2</v>
      </c>
      <c r="E38" s="371">
        <v>0</v>
      </c>
      <c r="F38" s="371">
        <f t="shared" si="2"/>
        <v>824</v>
      </c>
      <c r="G38" s="369">
        <v>42333</v>
      </c>
      <c r="H38" s="374">
        <v>50</v>
      </c>
      <c r="I38" s="371">
        <v>41.67</v>
      </c>
      <c r="J38" s="371">
        <v>0.04</v>
      </c>
      <c r="K38" s="371">
        <f t="shared" si="3"/>
        <v>2083.46</v>
      </c>
      <c r="L38" s="370"/>
      <c r="M38" s="370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0"/>
      <c r="B39" s="369">
        <v>42207</v>
      </c>
      <c r="C39" s="370">
        <v>20</v>
      </c>
      <c r="D39" s="371">
        <v>40.68</v>
      </c>
      <c r="E39" s="371">
        <v>0</v>
      </c>
      <c r="F39" s="371">
        <f t="shared" si="2"/>
        <v>813.6</v>
      </c>
      <c r="G39" s="369">
        <v>42335</v>
      </c>
      <c r="H39" s="374">
        <v>50</v>
      </c>
      <c r="I39" s="371">
        <v>41.85</v>
      </c>
      <c r="J39" s="371">
        <v>0.04</v>
      </c>
      <c r="K39" s="371">
        <f t="shared" si="3"/>
        <v>2092.46</v>
      </c>
      <c r="L39" s="370"/>
      <c r="M39" s="370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0"/>
      <c r="B40" s="369">
        <v>42292</v>
      </c>
      <c r="C40" s="370">
        <v>40</v>
      </c>
      <c r="D40" s="371">
        <v>41.65</v>
      </c>
      <c r="E40" s="371">
        <v>0</v>
      </c>
      <c r="F40" s="371">
        <f t="shared" si="2"/>
        <v>1666</v>
      </c>
      <c r="G40" s="369">
        <v>42335</v>
      </c>
      <c r="H40" s="374">
        <v>50</v>
      </c>
      <c r="I40" s="371">
        <v>42.4</v>
      </c>
      <c r="J40" s="371">
        <v>0.04</v>
      </c>
      <c r="K40" s="371">
        <f t="shared" si="3"/>
        <v>2119.96</v>
      </c>
      <c r="L40" s="370"/>
      <c r="M40" s="370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0"/>
      <c r="B41" s="369">
        <v>42298</v>
      </c>
      <c r="C41" s="370">
        <v>80</v>
      </c>
      <c r="D41" s="371">
        <v>40.450000000000003</v>
      </c>
      <c r="E41" s="371">
        <v>0</v>
      </c>
      <c r="F41" s="371">
        <f t="shared" si="2"/>
        <v>3236</v>
      </c>
      <c r="G41" s="369">
        <v>42398</v>
      </c>
      <c r="H41" s="374">
        <v>50</v>
      </c>
      <c r="I41" s="371">
        <v>39.65</v>
      </c>
      <c r="J41" s="371">
        <v>0.04</v>
      </c>
      <c r="K41" s="371">
        <f t="shared" si="3"/>
        <v>1982.46</v>
      </c>
      <c r="L41" s="370"/>
      <c r="M41" s="370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0"/>
      <c r="B42" s="369">
        <v>42298</v>
      </c>
      <c r="C42" s="370">
        <v>80</v>
      </c>
      <c r="D42" s="371">
        <v>39.9</v>
      </c>
      <c r="E42" s="371">
        <v>0</v>
      </c>
      <c r="F42" s="371">
        <f t="shared" si="2"/>
        <v>3192</v>
      </c>
      <c r="G42" s="369">
        <v>42408</v>
      </c>
      <c r="H42" s="374">
        <v>50</v>
      </c>
      <c r="I42" s="371">
        <v>51.5</v>
      </c>
      <c r="J42" s="371">
        <v>0.05</v>
      </c>
      <c r="K42" s="371">
        <f t="shared" si="3"/>
        <v>2574.9499999999998</v>
      </c>
      <c r="L42" s="370"/>
      <c r="M42" s="370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0"/>
      <c r="B43" s="369">
        <v>42333</v>
      </c>
      <c r="C43" s="370">
        <v>50</v>
      </c>
      <c r="D43" s="371">
        <v>41.2</v>
      </c>
      <c r="E43" s="371">
        <v>0</v>
      </c>
      <c r="F43" s="371">
        <f t="shared" si="2"/>
        <v>2060</v>
      </c>
      <c r="G43" s="370"/>
      <c r="H43" s="370"/>
      <c r="I43" s="371"/>
      <c r="J43" s="371"/>
      <c r="K43" s="371"/>
      <c r="L43" s="370"/>
      <c r="M43" s="370"/>
      <c r="O43" s="81">
        <v>1.1000000000000001</v>
      </c>
      <c r="P43" s="81">
        <f>O43*$Q$4</f>
        <v>69.222999999999999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0"/>
      <c r="B44" s="369">
        <v>42377</v>
      </c>
      <c r="C44" s="370">
        <v>50</v>
      </c>
      <c r="D44" s="371">
        <v>37.85</v>
      </c>
      <c r="E44" s="371">
        <v>0</v>
      </c>
      <c r="F44" s="371">
        <f t="shared" si="2"/>
        <v>1892.5</v>
      </c>
      <c r="G44" s="370"/>
      <c r="H44" s="370"/>
      <c r="I44" s="371"/>
      <c r="J44" s="371"/>
      <c r="K44" s="371"/>
      <c r="L44" s="370"/>
      <c r="M44" s="370"/>
      <c r="O44" s="81">
        <v>1.0900000000000001</v>
      </c>
      <c r="P44" s="81">
        <f t="shared" ref="P44:P63" si="4">O44*$Q$4</f>
        <v>68.593699999999998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0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0"/>
      <c r="M45" s="370"/>
      <c r="O45" s="81">
        <v>1.08</v>
      </c>
      <c r="P45" s="81">
        <f t="shared" si="4"/>
        <v>67.964399999999998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0"/>
      <c r="B46" s="369"/>
      <c r="C46" s="370"/>
      <c r="D46" s="371"/>
      <c r="E46" s="371"/>
      <c r="F46" s="371"/>
      <c r="G46" s="370"/>
      <c r="H46" s="370"/>
      <c r="I46" s="371"/>
      <c r="J46" s="371"/>
      <c r="K46" s="371"/>
      <c r="L46" s="370"/>
      <c r="M46" s="370"/>
      <c r="O46" s="81">
        <v>1.07</v>
      </c>
      <c r="P46" s="81">
        <f t="shared" si="4"/>
        <v>67.335099999999997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0"/>
      <c r="B47" s="369"/>
      <c r="C47" s="370"/>
      <c r="D47" s="371"/>
      <c r="E47" s="371"/>
      <c r="F47" s="371"/>
      <c r="G47" s="370"/>
      <c r="H47" s="370"/>
      <c r="I47" s="371"/>
      <c r="J47" s="371"/>
      <c r="K47" s="371"/>
      <c r="L47" s="370"/>
      <c r="M47" s="370"/>
      <c r="O47" s="81">
        <v>1.06</v>
      </c>
      <c r="P47" s="81">
        <f t="shared" si="4"/>
        <v>66.705799999999996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0"/>
      <c r="B48" s="369"/>
      <c r="C48" s="370"/>
      <c r="D48" s="371"/>
      <c r="E48" s="371"/>
      <c r="F48" s="371"/>
      <c r="G48" s="370"/>
      <c r="H48" s="370"/>
      <c r="I48" s="371"/>
      <c r="J48" s="371"/>
      <c r="K48" s="371"/>
      <c r="L48" s="370"/>
      <c r="M48" s="370"/>
      <c r="O48" s="81">
        <v>1.05</v>
      </c>
      <c r="P48" s="81">
        <f t="shared" si="4"/>
        <v>66.076499999999996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0"/>
      <c r="B49" s="369"/>
      <c r="C49" s="370"/>
      <c r="D49" s="371"/>
      <c r="E49" s="371"/>
      <c r="F49" s="371"/>
      <c r="G49" s="370"/>
      <c r="H49" s="370"/>
      <c r="I49" s="371"/>
      <c r="J49" s="371"/>
      <c r="K49" s="371"/>
      <c r="L49" s="370"/>
      <c r="M49" s="370"/>
      <c r="O49" s="81">
        <v>1.04</v>
      </c>
      <c r="P49" s="81">
        <f t="shared" si="4"/>
        <v>65.447199999999995</v>
      </c>
      <c r="Q49" s="33"/>
      <c r="R49" s="33"/>
      <c r="T49" s="91" t="s">
        <v>121</v>
      </c>
      <c r="U49" s="86" t="s">
        <v>487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0"/>
      <c r="B50" s="369"/>
      <c r="C50" s="370"/>
      <c r="D50" s="371"/>
      <c r="E50" s="371"/>
      <c r="F50" s="371"/>
      <c r="G50" s="370"/>
      <c r="H50" s="370"/>
      <c r="I50" s="371"/>
      <c r="J50" s="371"/>
      <c r="K50" s="371"/>
      <c r="L50" s="370"/>
      <c r="M50" s="370"/>
      <c r="O50" s="81">
        <v>1.03</v>
      </c>
      <c r="P50" s="81">
        <f t="shared" si="4"/>
        <v>64.817899999999995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0"/>
      <c r="B51" s="369"/>
      <c r="C51" s="370"/>
      <c r="D51" s="371"/>
      <c r="E51" s="371"/>
      <c r="F51" s="371"/>
      <c r="G51" s="370"/>
      <c r="H51" s="370"/>
      <c r="I51" s="371"/>
      <c r="J51" s="371"/>
      <c r="K51" s="371"/>
      <c r="L51" s="370"/>
      <c r="M51" s="370"/>
      <c r="O51" s="81">
        <v>1.02</v>
      </c>
      <c r="P51" s="81">
        <f t="shared" si="4"/>
        <v>64.188599999999994</v>
      </c>
      <c r="Q51" s="81"/>
      <c r="R51" s="33"/>
      <c r="T51" s="91" t="s">
        <v>104</v>
      </c>
      <c r="U51" s="86" t="s">
        <v>666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63.5593</v>
      </c>
      <c r="Q52" s="81"/>
      <c r="R52" s="33"/>
      <c r="T52" s="91" t="s">
        <v>105</v>
      </c>
      <c r="U52" s="86" t="s">
        <v>516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0"/>
      <c r="B53" s="370"/>
      <c r="C53" s="370"/>
      <c r="D53" s="371"/>
      <c r="E53" s="371"/>
      <c r="F53" s="371"/>
      <c r="G53" s="371"/>
      <c r="H53" s="370"/>
      <c r="I53" s="371"/>
      <c r="J53" s="371"/>
      <c r="K53" s="371"/>
      <c r="L53" s="370"/>
      <c r="M53" s="370"/>
      <c r="O53" s="81">
        <v>1</v>
      </c>
      <c r="P53" s="81">
        <f t="shared" si="4"/>
        <v>62.93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62.300699999999999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61.671399999999998</v>
      </c>
      <c r="Q55" s="81"/>
      <c r="R55" s="33"/>
      <c r="T55" s="91" t="s">
        <v>107</v>
      </c>
      <c r="U55" s="86" t="s">
        <v>667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61.042099999999998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60.412799999999997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59.783499999999997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348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59.154199999999996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58.524900000000002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57.895600000000002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57.266300000000001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56.637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825" priority="11">
      <formula>Q8&gt;0</formula>
    </cfRule>
    <cfRule type="expression" dxfId="824" priority="12">
      <formula>Q8&lt;0</formula>
    </cfRule>
  </conditionalFormatting>
  <conditionalFormatting sqref="Q7">
    <cfRule type="expression" dxfId="823" priority="13">
      <formula>Q7&gt;0</formula>
    </cfRule>
    <cfRule type="expression" dxfId="822" priority="14">
      <formula>Q7&lt;0</formula>
    </cfRule>
  </conditionalFormatting>
  <conditionalFormatting sqref="F22">
    <cfRule type="expression" dxfId="821" priority="9">
      <formula>F22&gt;0</formula>
    </cfRule>
    <cfRule type="expression" dxfId="820" priority="10">
      <formula>F22&lt;0</formula>
    </cfRule>
  </conditionalFormatting>
  <conditionalFormatting sqref="H22">
    <cfRule type="expression" dxfId="819" priority="7">
      <formula>H22&gt;0</formula>
    </cfRule>
    <cfRule type="expression" dxfId="818" priority="8">
      <formula>H22&lt;0</formula>
    </cfRule>
  </conditionalFormatting>
  <conditionalFormatting sqref="F59">
    <cfRule type="expression" dxfId="817" priority="5">
      <formula>F59&gt;0</formula>
    </cfRule>
    <cfRule type="expression" dxfId="816" priority="6">
      <formula>F59&lt;0</formula>
    </cfRule>
  </conditionalFormatting>
  <conditionalFormatting sqref="H59">
    <cfRule type="expression" dxfId="815" priority="3">
      <formula>H59&gt;0</formula>
    </cfRule>
    <cfRule type="expression" dxfId="814" priority="4">
      <formula>H59&lt;0</formula>
    </cfRule>
  </conditionalFormatting>
  <conditionalFormatting sqref="M30">
    <cfRule type="expression" dxfId="813" priority="1">
      <formula>M30&gt;0</formula>
    </cfRule>
    <cfRule type="expression" dxfId="81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92.26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92.26</v>
      </c>
      <c r="R4" s="486">
        <v>-1.8599999999999998E-2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11" t="s">
        <v>78</v>
      </c>
      <c r="P35" s="811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101.48600000000002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100.56340000000002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99.640800000000013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98.71820000000001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97.795600000000007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96.873000000000005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95.950400000000002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95.027800000000013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94.105200000000011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93.182600000000008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92.26</v>
      </c>
      <c r="Q46" s="2"/>
      <c r="T46" s="111" t="s">
        <v>103</v>
      </c>
      <c r="U46" s="104" t="s">
        <v>405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91.337400000000002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90.4148</v>
      </c>
      <c r="Q48" s="2"/>
      <c r="T48" s="111" t="s">
        <v>104</v>
      </c>
      <c r="U48" s="104" t="s">
        <v>668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89.492199999999997</v>
      </c>
      <c r="T49" s="111" t="s">
        <v>105</v>
      </c>
      <c r="U49" s="104" t="s">
        <v>526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88.569600000000008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87.647000000000006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86.724400000000003</v>
      </c>
      <c r="T52" s="111" t="s">
        <v>107</v>
      </c>
      <c r="U52" s="104" t="s">
        <v>669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85.801800000000014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84.879200000000012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83.956600000000009</v>
      </c>
      <c r="T55" s="111" t="s">
        <v>108</v>
      </c>
      <c r="U55" s="104" t="s">
        <v>571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83.034000000000006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811" priority="19">
      <formula>F27&gt;0</formula>
    </cfRule>
    <cfRule type="expression" dxfId="810" priority="20">
      <formula>F27&lt;0</formula>
    </cfRule>
  </conditionalFormatting>
  <conditionalFormatting sqref="F37:F38">
    <cfRule type="expression" dxfId="809" priority="17">
      <formula>F37&gt;0</formula>
    </cfRule>
    <cfRule type="expression" dxfId="808" priority="18">
      <formula>F37&lt;0</formula>
    </cfRule>
  </conditionalFormatting>
  <conditionalFormatting sqref="H27:H32">
    <cfRule type="expression" dxfId="807" priority="15">
      <formula>H27&gt;0</formula>
    </cfRule>
    <cfRule type="expression" dxfId="806" priority="16">
      <formula>H27&lt;0</formula>
    </cfRule>
  </conditionalFormatting>
  <conditionalFormatting sqref="Q7">
    <cfRule type="expression" dxfId="805" priority="3">
      <formula>Q7&gt;0</formula>
    </cfRule>
    <cfRule type="expression" dxfId="804" priority="4">
      <formula>Q7&lt;0</formula>
    </cfRule>
  </conditionalFormatting>
  <conditionalFormatting sqref="Q8">
    <cfRule type="expression" dxfId="803" priority="1">
      <formula>Q8&gt;0</formula>
    </cfRule>
    <cfRule type="expression" dxfId="80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139.08000000000001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139.08000000000001</v>
      </c>
      <c r="R4" s="486">
        <v>-2.6499999999999999E-2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79" t="s">
        <v>47</v>
      </c>
      <c r="B35" s="369">
        <v>42185</v>
      </c>
      <c r="C35" s="370">
        <v>10</v>
      </c>
      <c r="D35" s="371">
        <v>88.85</v>
      </c>
      <c r="E35" s="371">
        <v>0</v>
      </c>
      <c r="F35" s="371">
        <f t="shared" ref="F35:F40" si="2">C35*D35</f>
        <v>888.5</v>
      </c>
      <c r="G35" s="369">
        <v>42310</v>
      </c>
      <c r="H35" s="374">
        <v>75</v>
      </c>
      <c r="I35" s="371">
        <v>80.650000000000006</v>
      </c>
      <c r="J35" s="370">
        <v>7.06</v>
      </c>
      <c r="K35" s="370">
        <f>H35*I35-J35</f>
        <v>6041.69</v>
      </c>
      <c r="L35" s="369">
        <v>42257</v>
      </c>
      <c r="M35" s="371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0" t="s">
        <v>71</v>
      </c>
      <c r="B36" s="369">
        <v>42214</v>
      </c>
      <c r="C36" s="370">
        <v>10</v>
      </c>
      <c r="D36" s="371">
        <v>83</v>
      </c>
      <c r="E36" s="371">
        <v>0</v>
      </c>
      <c r="F36" s="371">
        <f t="shared" si="2"/>
        <v>830</v>
      </c>
      <c r="G36" s="369">
        <v>42335</v>
      </c>
      <c r="H36" s="374">
        <v>60</v>
      </c>
      <c r="I36" s="371">
        <v>95.71</v>
      </c>
      <c r="J36" s="371">
        <v>0.11</v>
      </c>
      <c r="K36" s="370">
        <f>H36*I36-J36</f>
        <v>5742.49</v>
      </c>
      <c r="L36" s="370"/>
      <c r="M36" s="371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0"/>
      <c r="B37" s="369">
        <v>42221</v>
      </c>
      <c r="C37" s="370">
        <v>30</v>
      </c>
      <c r="D37" s="371">
        <v>84.6</v>
      </c>
      <c r="E37" s="371">
        <v>0</v>
      </c>
      <c r="F37" s="371">
        <f t="shared" si="2"/>
        <v>2538</v>
      </c>
      <c r="G37" s="370"/>
      <c r="H37" s="374"/>
      <c r="I37" s="370"/>
      <c r="J37" s="370"/>
      <c r="K37" s="370"/>
      <c r="L37" s="370"/>
      <c r="M37" s="371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0"/>
      <c r="B38" s="369">
        <v>42222</v>
      </c>
      <c r="C38" s="370">
        <v>10</v>
      </c>
      <c r="D38" s="371">
        <v>83.08</v>
      </c>
      <c r="E38" s="371">
        <v>0</v>
      </c>
      <c r="F38" s="371">
        <f t="shared" si="2"/>
        <v>830.8</v>
      </c>
      <c r="G38" s="370"/>
      <c r="H38" s="374"/>
      <c r="I38" s="370"/>
      <c r="J38" s="370"/>
      <c r="K38" s="370"/>
      <c r="L38" s="370"/>
      <c r="M38" s="371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0"/>
      <c r="B39" s="369">
        <v>42272</v>
      </c>
      <c r="C39" s="370">
        <v>15</v>
      </c>
      <c r="D39" s="371">
        <v>77.3</v>
      </c>
      <c r="E39" s="371">
        <v>0</v>
      </c>
      <c r="F39" s="371">
        <f t="shared" si="2"/>
        <v>1159.5</v>
      </c>
      <c r="G39" s="370"/>
      <c r="H39" s="374"/>
      <c r="I39" s="370"/>
      <c r="J39" s="370"/>
      <c r="K39" s="370"/>
      <c r="L39" s="370"/>
      <c r="M39" s="370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0"/>
      <c r="B40" s="369">
        <v>42335</v>
      </c>
      <c r="C40" s="370">
        <v>60</v>
      </c>
      <c r="D40" s="371">
        <v>95.69</v>
      </c>
      <c r="E40" s="371">
        <v>0</v>
      </c>
      <c r="F40" s="371">
        <f t="shared" si="2"/>
        <v>5741.4</v>
      </c>
      <c r="G40" s="370"/>
      <c r="H40" s="374"/>
      <c r="I40" s="370"/>
      <c r="J40" s="370"/>
      <c r="K40" s="370"/>
      <c r="L40" s="370"/>
      <c r="M40" s="370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4"/>
      <c r="I41" s="370"/>
      <c r="J41" s="370"/>
      <c r="K41" s="370"/>
      <c r="L41" s="370"/>
      <c r="M41" s="370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 t="shared" ref="P43:P63" si="3">O43*$Q$4</f>
        <v>152.98800000000003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si="3"/>
        <v>151.59720000000002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3"/>
        <v>150.20640000000003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3"/>
        <v>148.81560000000002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3"/>
        <v>147.42480000000003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400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3"/>
        <v>146.03400000000002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3"/>
        <v>144.64320000000001</v>
      </c>
      <c r="Q49" s="2"/>
      <c r="R49" s="33"/>
      <c r="T49" s="10" t="s">
        <v>103</v>
      </c>
      <c r="U49" s="86" t="s">
        <v>640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3"/>
        <v>143.25240000000002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141.86160000000001</v>
      </c>
      <c r="Q51" s="2"/>
      <c r="R51" s="33"/>
      <c r="T51" s="10" t="s">
        <v>104</v>
      </c>
      <c r="U51" s="86" t="s">
        <v>641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140.47080000000003</v>
      </c>
      <c r="Q52" s="2"/>
      <c r="R52" s="33"/>
      <c r="T52" s="10" t="s">
        <v>105</v>
      </c>
      <c r="U52" s="86" t="s">
        <v>517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139.08000000000001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137.6892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136.29840000000002</v>
      </c>
      <c r="Q55" s="2"/>
      <c r="R55" s="33"/>
      <c r="T55" s="10" t="s">
        <v>107</v>
      </c>
      <c r="U55" s="86" t="s">
        <v>642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134.9076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133.51680000000002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132.126</v>
      </c>
      <c r="T58" s="10" t="s">
        <v>108</v>
      </c>
      <c r="U58" s="86" t="s">
        <v>564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130.73519999999999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129.34440000000001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127.95360000000002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126.56280000000001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125.17200000000001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801" priority="25">
      <formula>F24&gt;0</formula>
    </cfRule>
    <cfRule type="expression" dxfId="800" priority="26">
      <formula>F24&lt;0</formula>
    </cfRule>
  </conditionalFormatting>
  <conditionalFormatting sqref="H21:H27">
    <cfRule type="expression" dxfId="799" priority="19">
      <formula>H21&gt;0</formula>
    </cfRule>
    <cfRule type="expression" dxfId="798" priority="20">
      <formula>H21&lt;0</formula>
    </cfRule>
  </conditionalFormatting>
  <conditionalFormatting sqref="F21:F23">
    <cfRule type="expression" dxfId="797" priority="5">
      <formula>F21&gt;0</formula>
    </cfRule>
    <cfRule type="expression" dxfId="796" priority="6">
      <formula>F21&lt;0</formula>
    </cfRule>
  </conditionalFormatting>
  <conditionalFormatting sqref="Q8">
    <cfRule type="expression" dxfId="795" priority="1">
      <formula>Q8&gt;0</formula>
    </cfRule>
    <cfRule type="expression" dxfId="794" priority="2">
      <formula>Q8&lt;0</formula>
    </cfRule>
  </conditionalFormatting>
  <conditionalFormatting sqref="Q7">
    <cfRule type="expression" dxfId="793" priority="3">
      <formula>Q7&gt;0</formula>
    </cfRule>
    <cfRule type="expression" dxfId="7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246.46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246.46</v>
      </c>
      <c r="R4" s="486">
        <v>-2.12E-2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7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7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8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8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327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16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16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16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7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11" t="s">
        <v>78</v>
      </c>
      <c r="P41" s="811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271.10600000000005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268.64140000000003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266.17680000000001</v>
      </c>
      <c r="Q44" s="2"/>
      <c r="T44" s="132" t="s">
        <v>99</v>
      </c>
      <c r="U44" s="86" t="s">
        <v>670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263.7122</v>
      </c>
      <c r="Q45" s="2"/>
      <c r="T45" s="132" t="s">
        <v>100</v>
      </c>
      <c r="U45" s="86" t="s">
        <v>671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261.24760000000003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258.78300000000002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256.3184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253.85380000000001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251.38920000000002</v>
      </c>
      <c r="Q50" s="2"/>
      <c r="T50" s="132" t="s">
        <v>104</v>
      </c>
      <c r="U50" s="86" t="s">
        <v>672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248.9246</v>
      </c>
      <c r="Q51" s="2"/>
      <c r="T51" s="132" t="s">
        <v>105</v>
      </c>
      <c r="U51" s="86" t="s">
        <v>512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246.46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243.99540000000002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241.5308</v>
      </c>
      <c r="Q54" s="2"/>
      <c r="T54" s="132" t="s">
        <v>107</v>
      </c>
      <c r="U54" s="86" t="s">
        <v>673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239.06620000000001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236.60159999999999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234.137</v>
      </c>
      <c r="T57" s="132" t="s">
        <v>108</v>
      </c>
      <c r="U57" s="86" t="s">
        <v>572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231.67239999999998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229.20780000000002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226.74320000000003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224.27860000000001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221.81400000000002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91" priority="11">
      <formula>F21&gt;0</formula>
    </cfRule>
    <cfRule type="expression" dxfId="790" priority="12">
      <formula>F21&lt;0</formula>
    </cfRule>
  </conditionalFormatting>
  <conditionalFormatting sqref="H21:H23">
    <cfRule type="expression" dxfId="789" priority="9">
      <formula>H21&gt;0</formula>
    </cfRule>
    <cfRule type="expression" dxfId="788" priority="10">
      <formula>H21&lt;0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67.790000000000006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67.790000000000006</v>
      </c>
      <c r="R4" s="486">
        <v>-1.1999999999999999E-3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4">
        <v>450</v>
      </c>
      <c r="D40" s="435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11" t="s">
        <v>78</v>
      </c>
      <c r="P40" s="811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74.569000000000017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73.891100000000009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73.213200000000015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4">
        <v>450</v>
      </c>
      <c r="D44" s="435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72.535300000000007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71.857400000000013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71.179500000000004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70.50160000000001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69.823700000000002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69.145800000000008</v>
      </c>
      <c r="Q49" s="2"/>
      <c r="T49" s="91" t="s">
        <v>121</v>
      </c>
      <c r="U49" s="86" t="s">
        <v>351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68.4679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67.790000000000006</v>
      </c>
      <c r="Q51" s="2"/>
      <c r="T51" s="91" t="s">
        <v>104</v>
      </c>
      <c r="U51" s="86" t="s">
        <v>706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67.112100000000012</v>
      </c>
      <c r="Q52" s="2"/>
      <c r="T52" s="91" t="s">
        <v>105</v>
      </c>
      <c r="U52" s="86" t="s">
        <v>329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66.434200000000004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65.75630000000001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65.078400000000002</v>
      </c>
      <c r="T55" s="91" t="s">
        <v>107</v>
      </c>
      <c r="U55" s="86" t="s">
        <v>707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64.400500000000008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63.7226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63.044700000000006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62.366800000000012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61.688900000000011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61.01100000000001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6" t="s">
        <v>1</v>
      </c>
      <c r="B76" s="376" t="s">
        <v>2</v>
      </c>
      <c r="C76" s="376" t="s">
        <v>4</v>
      </c>
      <c r="D76" s="378" t="s">
        <v>5</v>
      </c>
      <c r="E76" s="378" t="s">
        <v>94</v>
      </c>
      <c r="F76" s="378" t="s">
        <v>60</v>
      </c>
      <c r="G76" s="376" t="s">
        <v>3</v>
      </c>
      <c r="H76" s="376" t="s">
        <v>6</v>
      </c>
      <c r="I76" s="378" t="s">
        <v>7</v>
      </c>
      <c r="J76" s="378" t="s">
        <v>95</v>
      </c>
      <c r="K76" s="378" t="s">
        <v>61</v>
      </c>
      <c r="L76" s="376" t="s">
        <v>37</v>
      </c>
      <c r="M76" s="376" t="s">
        <v>38</v>
      </c>
    </row>
    <row r="77" spans="1:31" x14ac:dyDescent="0.25">
      <c r="A77" s="379" t="s">
        <v>13</v>
      </c>
      <c r="B77" s="369">
        <v>42485</v>
      </c>
      <c r="C77" s="370">
        <v>80</v>
      </c>
      <c r="D77" s="371">
        <v>49.5</v>
      </c>
      <c r="E77" s="371">
        <v>0</v>
      </c>
      <c r="F77" s="371">
        <f t="shared" ref="F77:F85" si="9">D77*C77+E77</f>
        <v>3960</v>
      </c>
      <c r="G77" s="370"/>
      <c r="H77" s="370"/>
      <c r="I77" s="371"/>
      <c r="J77" s="371"/>
      <c r="K77" s="371"/>
      <c r="L77" s="369"/>
      <c r="M77" s="370"/>
    </row>
    <row r="78" spans="1:31" x14ac:dyDescent="0.25">
      <c r="A78" s="380" t="s">
        <v>71</v>
      </c>
      <c r="B78" s="369">
        <v>42489</v>
      </c>
      <c r="C78" s="370">
        <v>20</v>
      </c>
      <c r="D78" s="371">
        <v>46.95</v>
      </c>
      <c r="E78" s="371">
        <v>0</v>
      </c>
      <c r="F78" s="371">
        <f t="shared" si="9"/>
        <v>939</v>
      </c>
      <c r="G78" s="370"/>
      <c r="H78" s="371"/>
      <c r="I78" s="371"/>
      <c r="J78" s="371"/>
      <c r="K78" s="371"/>
      <c r="L78" s="370"/>
      <c r="M78" s="370"/>
    </row>
    <row r="79" spans="1:31" x14ac:dyDescent="0.25">
      <c r="A79" s="370"/>
      <c r="B79" s="369">
        <v>42489</v>
      </c>
      <c r="C79" s="370">
        <v>50</v>
      </c>
      <c r="D79" s="371">
        <v>45.91</v>
      </c>
      <c r="E79" s="371">
        <v>0</v>
      </c>
      <c r="F79" s="371">
        <f t="shared" si="9"/>
        <v>2295.5</v>
      </c>
      <c r="G79" s="370"/>
      <c r="H79" s="370"/>
      <c r="I79" s="371"/>
      <c r="J79" s="371"/>
      <c r="K79" s="371"/>
      <c r="L79" s="370"/>
      <c r="M79" s="370"/>
    </row>
    <row r="80" spans="1:31" x14ac:dyDescent="0.25">
      <c r="A80" s="370"/>
      <c r="B80" s="369">
        <v>42495</v>
      </c>
      <c r="C80" s="370">
        <v>25</v>
      </c>
      <c r="D80" s="371">
        <v>45</v>
      </c>
      <c r="E80" s="371">
        <v>0</v>
      </c>
      <c r="F80" s="371">
        <f t="shared" si="9"/>
        <v>1125</v>
      </c>
      <c r="G80" s="369">
        <v>42557</v>
      </c>
      <c r="H80" s="370">
        <v>150</v>
      </c>
      <c r="I80" s="371">
        <v>39.28</v>
      </c>
      <c r="J80" s="371">
        <v>0.13</v>
      </c>
      <c r="K80" s="371">
        <f t="shared" ref="K80:K85" si="10">I80*H80-J80</f>
        <v>5891.87</v>
      </c>
      <c r="L80" s="370"/>
      <c r="M80" s="370"/>
    </row>
    <row r="81" spans="1:13" x14ac:dyDescent="0.25">
      <c r="A81" s="370"/>
      <c r="B81" s="369">
        <v>42502</v>
      </c>
      <c r="C81" s="370">
        <v>25</v>
      </c>
      <c r="D81" s="371">
        <v>44.09</v>
      </c>
      <c r="E81" s="371">
        <v>0</v>
      </c>
      <c r="F81" s="371">
        <f t="shared" si="9"/>
        <v>1102.25</v>
      </c>
      <c r="G81" s="369">
        <v>42562</v>
      </c>
      <c r="H81" s="370">
        <v>50</v>
      </c>
      <c r="I81" s="371">
        <v>42.68</v>
      </c>
      <c r="J81" s="371">
        <v>0.05</v>
      </c>
      <c r="K81" s="371">
        <f t="shared" si="10"/>
        <v>2133.9499999999998</v>
      </c>
      <c r="L81" s="370"/>
      <c r="M81" s="370"/>
    </row>
    <row r="82" spans="1:13" x14ac:dyDescent="0.25">
      <c r="A82" s="370"/>
      <c r="B82" s="369">
        <v>42535</v>
      </c>
      <c r="C82" s="370">
        <v>40</v>
      </c>
      <c r="D82" s="371">
        <v>43.19</v>
      </c>
      <c r="E82" s="371">
        <v>0</v>
      </c>
      <c r="F82" s="371">
        <f t="shared" si="9"/>
        <v>1727.6</v>
      </c>
      <c r="G82" s="369">
        <v>42566</v>
      </c>
      <c r="H82" s="370">
        <v>40</v>
      </c>
      <c r="I82" s="371">
        <v>47.51</v>
      </c>
      <c r="J82" s="371">
        <v>0.04</v>
      </c>
      <c r="K82" s="371">
        <f t="shared" si="10"/>
        <v>1900.36</v>
      </c>
      <c r="L82" s="370"/>
      <c r="M82" s="370"/>
    </row>
    <row r="83" spans="1:13" x14ac:dyDescent="0.25">
      <c r="A83" s="370"/>
      <c r="B83" s="369">
        <v>42545</v>
      </c>
      <c r="C83" s="370">
        <v>100</v>
      </c>
      <c r="D83" s="371">
        <v>42.28</v>
      </c>
      <c r="E83" s="371">
        <v>0</v>
      </c>
      <c r="F83" s="371">
        <f t="shared" si="9"/>
        <v>4228</v>
      </c>
      <c r="G83" s="369">
        <v>42587</v>
      </c>
      <c r="H83" s="370">
        <v>210</v>
      </c>
      <c r="I83" s="371">
        <v>47.58</v>
      </c>
      <c r="J83" s="371">
        <v>0.22</v>
      </c>
      <c r="K83" s="371">
        <f t="shared" si="10"/>
        <v>9991.58</v>
      </c>
      <c r="L83" s="370"/>
      <c r="M83" s="370"/>
    </row>
    <row r="84" spans="1:13" x14ac:dyDescent="0.25">
      <c r="A84" s="370"/>
      <c r="B84" s="369">
        <v>42545</v>
      </c>
      <c r="C84" s="370">
        <v>110</v>
      </c>
      <c r="D84" s="371">
        <v>41.12</v>
      </c>
      <c r="E84" s="371">
        <v>0</v>
      </c>
      <c r="F84" s="371">
        <f t="shared" si="9"/>
        <v>4523.2</v>
      </c>
      <c r="G84" s="369">
        <v>42593</v>
      </c>
      <c r="H84" s="370">
        <v>50</v>
      </c>
      <c r="I84" s="371">
        <v>47.35</v>
      </c>
      <c r="J84" s="371">
        <v>0.05</v>
      </c>
      <c r="K84" s="371">
        <f t="shared" si="10"/>
        <v>2367.4499999999998</v>
      </c>
      <c r="L84" s="370"/>
      <c r="M84" s="370"/>
    </row>
    <row r="85" spans="1:13" x14ac:dyDescent="0.25">
      <c r="A85" s="370"/>
      <c r="B85" s="369">
        <v>42557</v>
      </c>
      <c r="C85" s="370">
        <v>150</v>
      </c>
      <c r="D85" s="371">
        <v>38.08</v>
      </c>
      <c r="E85" s="371">
        <v>0</v>
      </c>
      <c r="F85" s="371">
        <f t="shared" si="9"/>
        <v>5712</v>
      </c>
      <c r="G85" s="369">
        <v>42597</v>
      </c>
      <c r="H85" s="370">
        <v>100</v>
      </c>
      <c r="I85" s="371">
        <v>47.89</v>
      </c>
      <c r="J85" s="371">
        <v>0.1</v>
      </c>
      <c r="K85" s="371">
        <f t="shared" si="10"/>
        <v>4788.8999999999996</v>
      </c>
      <c r="L85" s="370"/>
      <c r="M85" s="370"/>
    </row>
    <row r="86" spans="1:13" x14ac:dyDescent="0.25">
      <c r="A86" s="370"/>
      <c r="B86" s="369"/>
      <c r="C86" s="370"/>
      <c r="D86" s="371"/>
      <c r="E86" s="371"/>
      <c r="F86" s="371"/>
      <c r="G86" s="370"/>
      <c r="H86" s="370"/>
      <c r="I86" s="371"/>
      <c r="J86" s="371"/>
      <c r="K86" s="371"/>
      <c r="L86" s="370"/>
      <c r="M86" s="370"/>
    </row>
    <row r="87" spans="1:13" x14ac:dyDescent="0.25">
      <c r="A87" s="370"/>
      <c r="B87" s="370"/>
      <c r="C87" s="370"/>
      <c r="D87" s="371"/>
      <c r="E87" s="371"/>
      <c r="F87" s="371"/>
      <c r="G87" s="370"/>
      <c r="H87" s="370"/>
      <c r="I87" s="371"/>
      <c r="J87" s="371"/>
      <c r="K87" s="371"/>
      <c r="L87" s="370"/>
      <c r="M87" s="370"/>
    </row>
    <row r="88" spans="1:13" x14ac:dyDescent="0.25">
      <c r="A88" s="370"/>
      <c r="B88" s="370"/>
      <c r="C88" s="370"/>
      <c r="D88" s="371"/>
      <c r="E88" s="371"/>
      <c r="F88" s="371"/>
      <c r="G88" s="370"/>
      <c r="H88" s="370"/>
      <c r="I88" s="371"/>
      <c r="J88" s="371"/>
      <c r="K88" s="371"/>
      <c r="L88" s="370"/>
      <c r="M88" s="370"/>
    </row>
    <row r="89" spans="1:13" x14ac:dyDescent="0.25">
      <c r="A89" s="370"/>
      <c r="B89" s="370"/>
      <c r="C89" s="370"/>
      <c r="D89" s="371"/>
      <c r="E89" s="371"/>
      <c r="F89" s="371"/>
      <c r="G89" s="370"/>
      <c r="H89" s="370"/>
      <c r="I89" s="371"/>
      <c r="J89" s="371"/>
      <c r="K89" s="371"/>
      <c r="L89" s="370"/>
      <c r="M89" s="370"/>
    </row>
    <row r="90" spans="1:13" x14ac:dyDescent="0.25">
      <c r="A90" s="370"/>
      <c r="B90" s="370"/>
      <c r="C90" s="370"/>
      <c r="D90" s="371"/>
      <c r="E90" s="371"/>
      <c r="F90" s="371"/>
      <c r="G90" s="370"/>
      <c r="H90" s="370"/>
      <c r="I90" s="371"/>
      <c r="J90" s="371"/>
      <c r="K90" s="371"/>
      <c r="L90" s="370"/>
      <c r="M90" s="370"/>
    </row>
    <row r="91" spans="1:13" x14ac:dyDescent="0.25">
      <c r="A91" s="370"/>
      <c r="B91" s="370"/>
      <c r="C91" s="370"/>
      <c r="D91" s="371"/>
      <c r="E91" s="371"/>
      <c r="F91" s="371"/>
      <c r="G91" s="370"/>
      <c r="H91" s="370"/>
      <c r="I91" s="371"/>
      <c r="J91" s="371"/>
      <c r="K91" s="371"/>
      <c r="L91" s="370"/>
      <c r="M91" s="370"/>
    </row>
    <row r="92" spans="1:13" x14ac:dyDescent="0.25">
      <c r="A92" s="370"/>
      <c r="B92" s="370"/>
      <c r="C92" s="370"/>
      <c r="D92" s="371"/>
      <c r="E92" s="371"/>
      <c r="F92" s="371"/>
      <c r="G92" s="370"/>
      <c r="H92" s="370"/>
      <c r="I92" s="371"/>
      <c r="J92" s="371"/>
      <c r="K92" s="371"/>
      <c r="L92" s="370"/>
      <c r="M92" s="370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4" t="s">
        <v>194</v>
      </c>
      <c r="B94" s="455"/>
      <c r="C94" s="456">
        <f>SumByColor($A$19,C77:C92)</f>
        <v>0</v>
      </c>
      <c r="D94" s="456"/>
      <c r="E94" s="456"/>
      <c r="F94" s="457">
        <f>SumByColor($A$19,F77:F92)</f>
        <v>0</v>
      </c>
      <c r="G94" s="456"/>
      <c r="H94" s="456">
        <f>SumByColor($A$19,H78:H92)</f>
        <v>0</v>
      </c>
      <c r="I94" s="456"/>
      <c r="J94" s="456"/>
      <c r="K94" s="457">
        <f>SumByColor($A$19,K78:K92)</f>
        <v>0</v>
      </c>
      <c r="L94" s="456"/>
      <c r="M94" s="45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783" priority="15">
      <formula>F29&gt;0</formula>
    </cfRule>
    <cfRule type="expression" dxfId="782" priority="16">
      <formula>F29&lt;0</formula>
    </cfRule>
  </conditionalFormatting>
  <conditionalFormatting sqref="F34:F62">
    <cfRule type="expression" dxfId="781" priority="11">
      <formula>F34&gt;0</formula>
    </cfRule>
    <cfRule type="expression" dxfId="780" priority="12">
      <formula>F34&lt;0</formula>
    </cfRule>
  </conditionalFormatting>
  <conditionalFormatting sqref="F34:F62">
    <cfRule type="expression" dxfId="779" priority="13">
      <formula>F34&gt;0</formula>
    </cfRule>
    <cfRule type="expression" dxfId="778" priority="14">
      <formula>F34&lt;0</formula>
    </cfRule>
  </conditionalFormatting>
  <conditionalFormatting sqref="H29:H62">
    <cfRule type="expression" dxfId="777" priority="9">
      <formula>H29&gt;0</formula>
    </cfRule>
    <cfRule type="expression" dxfId="776" priority="10">
      <formula>H29&lt;0</formula>
    </cfRule>
  </conditionalFormatting>
  <conditionalFormatting sqref="F25:F28">
    <cfRule type="expression" dxfId="775" priority="7">
      <formula>F25&gt;0</formula>
    </cfRule>
    <cfRule type="expression" dxfId="774" priority="8">
      <formula>F25&lt;0</formula>
    </cfRule>
  </conditionalFormatting>
  <conditionalFormatting sqref="H25:H28">
    <cfRule type="expression" dxfId="773" priority="5">
      <formula>H25&gt;0</formula>
    </cfRule>
    <cfRule type="expression" dxfId="772" priority="6">
      <formula>H25&lt;0</formula>
    </cfRule>
  </conditionalFormatting>
  <conditionalFormatting sqref="Q7">
    <cfRule type="expression" dxfId="771" priority="3">
      <formula>Q7&gt;0</formula>
    </cfRule>
    <cfRule type="expression" dxfId="770" priority="4">
      <formula>Q7&lt;0</formula>
    </cfRule>
  </conditionalFormatting>
  <conditionalFormatting sqref="Q8">
    <cfRule type="expression" dxfId="769" priority="1">
      <formula>Q8&gt;0</formula>
    </cfRule>
    <cfRule type="expression" dxfId="76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69.209999999999994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69.209999999999994</v>
      </c>
      <c r="R4" s="505">
        <v>-1.1900000000000001E-2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9" t="s">
        <v>113</v>
      </c>
      <c r="C24" s="370" t="s">
        <v>146</v>
      </c>
      <c r="D24" s="371" t="s">
        <v>145</v>
      </c>
      <c r="E24" s="371" t="s">
        <v>147</v>
      </c>
      <c r="F24" s="371" t="s">
        <v>65</v>
      </c>
      <c r="G24" s="371" t="s">
        <v>151</v>
      </c>
      <c r="H24" s="372" t="s">
        <v>88</v>
      </c>
      <c r="I24" s="371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11" t="s">
        <v>78</v>
      </c>
      <c r="P40" s="811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76.131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75.438900000000004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74.746799999999993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74.054699999999997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73.3626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72.67049999999999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71.978399999999993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71.286299999999997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70.594200000000001</v>
      </c>
      <c r="Q49" s="2"/>
      <c r="T49" s="91" t="s">
        <v>103</v>
      </c>
      <c r="U49" s="86" t="s">
        <v>674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69.90209999999999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69.209999999999994</v>
      </c>
      <c r="Q51" s="2"/>
      <c r="T51" s="91" t="s">
        <v>104</v>
      </c>
      <c r="U51" s="86" t="s">
        <v>675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68.517899999999997</v>
      </c>
      <c r="Q52" s="2"/>
      <c r="T52" s="91" t="s">
        <v>105</v>
      </c>
      <c r="U52" s="86" t="s">
        <v>334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67.825799999999987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67.13369999999999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66.441599999999994</v>
      </c>
      <c r="T55" s="91" t="s">
        <v>107</v>
      </c>
      <c r="U55" s="86" t="s">
        <v>676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65.749499999999998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65.057399999999987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64.365299999999991</v>
      </c>
      <c r="T58" s="91" t="s">
        <v>108</v>
      </c>
      <c r="U58" s="86" t="s">
        <v>573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63.673199999999994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62.981099999999998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62.288999999999994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6" t="s">
        <v>1</v>
      </c>
      <c r="B68" s="376" t="s">
        <v>2</v>
      </c>
      <c r="C68" s="376" t="s">
        <v>4</v>
      </c>
      <c r="D68" s="378" t="s">
        <v>5</v>
      </c>
      <c r="E68" s="378" t="s">
        <v>94</v>
      </c>
      <c r="F68" s="378" t="s">
        <v>60</v>
      </c>
      <c r="G68" s="376" t="s">
        <v>3</v>
      </c>
      <c r="H68" s="376" t="s">
        <v>6</v>
      </c>
      <c r="I68" s="378" t="s">
        <v>7</v>
      </c>
      <c r="J68" s="378" t="s">
        <v>95</v>
      </c>
      <c r="K68" s="378" t="s">
        <v>61</v>
      </c>
      <c r="L68" s="376" t="s">
        <v>37</v>
      </c>
      <c r="M68" s="376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9" t="s">
        <v>52</v>
      </c>
      <c r="B69" s="369">
        <v>42488</v>
      </c>
      <c r="C69" s="370">
        <v>30</v>
      </c>
      <c r="D69" s="371">
        <v>79.349999999999994</v>
      </c>
      <c r="E69" s="371">
        <v>0</v>
      </c>
      <c r="F69" s="371">
        <f>D69*C69+E69</f>
        <v>2380.5</v>
      </c>
      <c r="G69" s="369">
        <v>42521</v>
      </c>
      <c r="H69" s="374">
        <v>25</v>
      </c>
      <c r="I69" s="371">
        <v>79.05</v>
      </c>
      <c r="J69" s="371">
        <v>0.04</v>
      </c>
      <c r="K69" s="371">
        <f>I69*H69-J69</f>
        <v>1976.21</v>
      </c>
      <c r="L69" s="369">
        <v>42566</v>
      </c>
      <c r="M69" s="371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0" t="s">
        <v>71</v>
      </c>
      <c r="B70" s="369">
        <v>42495</v>
      </c>
      <c r="C70" s="370">
        <v>20</v>
      </c>
      <c r="D70" s="371">
        <v>76.25</v>
      </c>
      <c r="E70" s="371">
        <v>0</v>
      </c>
      <c r="F70" s="371">
        <f>D70*C70+E70</f>
        <v>1525</v>
      </c>
      <c r="G70" s="369">
        <v>42552</v>
      </c>
      <c r="H70" s="374">
        <v>25</v>
      </c>
      <c r="I70" s="371">
        <v>78.28</v>
      </c>
      <c r="J70" s="371">
        <v>0.04</v>
      </c>
      <c r="K70" s="371">
        <f>I70*H70-J70</f>
        <v>1956.96</v>
      </c>
      <c r="L70" s="370"/>
      <c r="M70" s="370"/>
    </row>
    <row r="71" spans="1:31" x14ac:dyDescent="0.25">
      <c r="A71" s="370"/>
      <c r="B71" s="369">
        <v>42537</v>
      </c>
      <c r="C71" s="370">
        <v>25</v>
      </c>
      <c r="D71" s="371">
        <v>75.88</v>
      </c>
      <c r="E71" s="371">
        <v>0</v>
      </c>
      <c r="F71" s="371">
        <f>D71*C71+E71</f>
        <v>1897</v>
      </c>
      <c r="G71" s="369">
        <v>42577</v>
      </c>
      <c r="H71" s="374">
        <v>10</v>
      </c>
      <c r="I71" s="371">
        <v>83.3</v>
      </c>
      <c r="J71" s="371">
        <v>0.02</v>
      </c>
      <c r="K71" s="371">
        <f>I71*H71-J71</f>
        <v>832.98</v>
      </c>
      <c r="L71" s="370"/>
      <c r="M71" s="370"/>
    </row>
    <row r="72" spans="1:31" x14ac:dyDescent="0.25">
      <c r="A72" s="370"/>
      <c r="B72" s="369">
        <v>42548</v>
      </c>
      <c r="C72" s="370">
        <v>25</v>
      </c>
      <c r="D72" s="371">
        <v>73.58</v>
      </c>
      <c r="E72" s="371">
        <v>0</v>
      </c>
      <c r="F72" s="371">
        <f>D72*C72+E72</f>
        <v>1839.5</v>
      </c>
      <c r="G72" s="369">
        <v>42580</v>
      </c>
      <c r="H72" s="374">
        <v>40</v>
      </c>
      <c r="I72" s="371">
        <v>83.33</v>
      </c>
      <c r="J72" s="371">
        <v>7.0000000000000007E-2</v>
      </c>
      <c r="K72" s="371">
        <f>I72*H72-J72</f>
        <v>3333.1299999999997</v>
      </c>
      <c r="L72" s="370"/>
      <c r="M72" s="370"/>
    </row>
    <row r="73" spans="1:31" x14ac:dyDescent="0.25">
      <c r="A73" s="370"/>
      <c r="B73" s="369">
        <v>42608</v>
      </c>
      <c r="C73" s="370">
        <v>25</v>
      </c>
      <c r="D73" s="371">
        <v>79.02</v>
      </c>
      <c r="E73" s="371">
        <v>0</v>
      </c>
      <c r="F73" s="371">
        <f t="shared" ref="F73:F79" si="3">C73*D73+E73</f>
        <v>1975.5</v>
      </c>
      <c r="G73" s="369">
        <v>42674</v>
      </c>
      <c r="H73" s="374">
        <v>25</v>
      </c>
      <c r="I73" s="371">
        <v>70.900000000000006</v>
      </c>
      <c r="J73" s="371">
        <v>0.04</v>
      </c>
      <c r="K73" s="371">
        <f>H73*I73-J73</f>
        <v>1772.4600000000003</v>
      </c>
      <c r="L73" s="369">
        <v>42660</v>
      </c>
      <c r="M73" s="371">
        <v>22.45</v>
      </c>
    </row>
    <row r="74" spans="1:31" x14ac:dyDescent="0.25">
      <c r="A74" s="370"/>
      <c r="B74" s="369">
        <v>42627</v>
      </c>
      <c r="C74" s="370">
        <v>25</v>
      </c>
      <c r="D74" s="371">
        <v>76.3</v>
      </c>
      <c r="E74" s="371">
        <v>0</v>
      </c>
      <c r="F74" s="371">
        <f t="shared" si="3"/>
        <v>1907.5</v>
      </c>
      <c r="G74" s="369">
        <v>42711</v>
      </c>
      <c r="H74" s="374">
        <v>25</v>
      </c>
      <c r="I74" s="371">
        <v>69.680000000000007</v>
      </c>
      <c r="J74" s="371">
        <v>0.04</v>
      </c>
      <c r="K74" s="371">
        <f>H74*I74-J74</f>
        <v>1741.9600000000003</v>
      </c>
      <c r="L74" s="369">
        <v>42753</v>
      </c>
      <c r="M74" s="371">
        <v>22.45</v>
      </c>
    </row>
    <row r="75" spans="1:31" x14ac:dyDescent="0.25">
      <c r="A75" s="370"/>
      <c r="B75" s="369">
        <v>42668</v>
      </c>
      <c r="C75" s="370">
        <v>25</v>
      </c>
      <c r="D75" s="371">
        <v>74.38</v>
      </c>
      <c r="E75" s="371">
        <v>0</v>
      </c>
      <c r="F75" s="371">
        <f t="shared" si="3"/>
        <v>1859.5</v>
      </c>
      <c r="G75" s="369">
        <v>42713</v>
      </c>
      <c r="H75" s="374">
        <v>50</v>
      </c>
      <c r="I75" s="371">
        <v>72.58</v>
      </c>
      <c r="J75" s="371">
        <v>0.08</v>
      </c>
      <c r="K75" s="371">
        <f>H75*I75-J75</f>
        <v>3628.92</v>
      </c>
      <c r="L75" s="370"/>
      <c r="M75" s="370"/>
    </row>
    <row r="76" spans="1:31" x14ac:dyDescent="0.25">
      <c r="A76" s="370"/>
      <c r="B76" s="369">
        <v>42671</v>
      </c>
      <c r="C76" s="370">
        <v>25</v>
      </c>
      <c r="D76" s="371">
        <v>64.7</v>
      </c>
      <c r="E76" s="371">
        <v>0</v>
      </c>
      <c r="F76" s="371">
        <f t="shared" si="3"/>
        <v>1617.5</v>
      </c>
      <c r="G76" s="369">
        <v>42713</v>
      </c>
      <c r="H76" s="374">
        <v>25</v>
      </c>
      <c r="I76" s="371">
        <v>73.25</v>
      </c>
      <c r="J76" s="371">
        <v>0.04</v>
      </c>
      <c r="K76" s="371">
        <f>H76*I76-J76</f>
        <v>1831.21</v>
      </c>
      <c r="L76" s="370"/>
      <c r="M76" s="370"/>
    </row>
    <row r="77" spans="1:31" x14ac:dyDescent="0.25">
      <c r="A77" s="370"/>
      <c r="B77" s="369">
        <v>42674</v>
      </c>
      <c r="C77" s="370">
        <v>25</v>
      </c>
      <c r="D77" s="371">
        <v>69.680000000000007</v>
      </c>
      <c r="E77" s="371">
        <v>0</v>
      </c>
      <c r="F77" s="371">
        <f t="shared" si="3"/>
        <v>1742.0000000000002</v>
      </c>
      <c r="G77" s="369">
        <v>42752</v>
      </c>
      <c r="H77" s="374">
        <v>50</v>
      </c>
      <c r="I77" s="371">
        <v>75.69</v>
      </c>
      <c r="J77" s="371">
        <v>0.33</v>
      </c>
      <c r="K77" s="371">
        <f>H77*I77-J77</f>
        <v>3784.17</v>
      </c>
      <c r="L77" s="370"/>
      <c r="M77" s="370"/>
    </row>
    <row r="78" spans="1:31" x14ac:dyDescent="0.25">
      <c r="A78" s="370"/>
      <c r="B78" s="369">
        <v>42711</v>
      </c>
      <c r="C78" s="370">
        <v>25</v>
      </c>
      <c r="D78" s="371">
        <v>68.8</v>
      </c>
      <c r="E78" s="371">
        <v>0</v>
      </c>
      <c r="F78" s="371">
        <f t="shared" si="3"/>
        <v>1720</v>
      </c>
      <c r="G78" s="370"/>
      <c r="H78" s="374"/>
      <c r="I78" s="371"/>
      <c r="J78" s="371"/>
      <c r="K78" s="371"/>
      <c r="L78" s="370"/>
      <c r="M78" s="370"/>
    </row>
    <row r="79" spans="1:31" x14ac:dyDescent="0.25">
      <c r="A79" s="370"/>
      <c r="B79" s="369">
        <v>42718</v>
      </c>
      <c r="C79" s="370">
        <v>25</v>
      </c>
      <c r="D79" s="371">
        <v>72.48</v>
      </c>
      <c r="E79" s="371">
        <v>0</v>
      </c>
      <c r="F79" s="371">
        <f t="shared" si="3"/>
        <v>1812</v>
      </c>
      <c r="G79" s="370"/>
      <c r="H79" s="374"/>
      <c r="I79" s="371"/>
      <c r="J79" s="371"/>
      <c r="K79" s="371"/>
      <c r="L79" s="370"/>
      <c r="M79" s="370"/>
    </row>
    <row r="80" spans="1:31" x14ac:dyDescent="0.25">
      <c r="A80" s="370"/>
      <c r="B80" s="44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0"/>
      <c r="M80" s="370"/>
    </row>
    <row r="81" spans="1:13" x14ac:dyDescent="0.25">
      <c r="A81" s="370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0"/>
    </row>
    <row r="82" spans="1:13" x14ac:dyDescent="0.25">
      <c r="A82" s="370"/>
      <c r="B82" s="370"/>
      <c r="C82" s="370"/>
      <c r="D82" s="371"/>
      <c r="E82" s="371"/>
      <c r="F82" s="371"/>
      <c r="G82" s="370"/>
      <c r="H82" s="374"/>
      <c r="I82" s="371"/>
      <c r="J82" s="371"/>
      <c r="K82" s="371"/>
      <c r="L82" s="370"/>
      <c r="M82" s="370"/>
    </row>
    <row r="83" spans="1:13" x14ac:dyDescent="0.25">
      <c r="A83" s="370"/>
      <c r="B83" s="370"/>
      <c r="C83" s="370"/>
      <c r="D83" s="371"/>
      <c r="E83" s="371"/>
      <c r="F83" s="371"/>
      <c r="G83" s="370"/>
      <c r="H83" s="374"/>
      <c r="I83" s="371"/>
      <c r="J83" s="371"/>
      <c r="K83" s="371"/>
      <c r="L83" s="370"/>
      <c r="M83" s="370"/>
    </row>
    <row r="84" spans="1:13" x14ac:dyDescent="0.25">
      <c r="A84" s="370"/>
      <c r="B84" s="370"/>
      <c r="C84" s="370"/>
      <c r="D84" s="371"/>
      <c r="E84" s="371"/>
      <c r="F84" s="371"/>
      <c r="G84" s="370"/>
      <c r="H84" s="374"/>
      <c r="I84" s="371"/>
      <c r="J84" s="371"/>
      <c r="K84" s="371"/>
      <c r="L84" s="370"/>
      <c r="M84" s="370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4" t="s">
        <v>194</v>
      </c>
      <c r="B86" s="455"/>
      <c r="C86" s="456">
        <f>SumByColor($A$19,C69:C84)</f>
        <v>25</v>
      </c>
      <c r="D86" s="456"/>
      <c r="E86" s="456"/>
      <c r="F86" s="457">
        <f>SumByColor($A$19,F69:F84)</f>
        <v>1793</v>
      </c>
      <c r="G86" s="456"/>
      <c r="H86" s="456">
        <f>SumByColor($A$19,H69:H84)</f>
        <v>25</v>
      </c>
      <c r="I86" s="456"/>
      <c r="J86" s="456"/>
      <c r="K86" s="457">
        <f>SumByColor($A$19,K69:K84)</f>
        <v>1944</v>
      </c>
      <c r="L86" s="456"/>
      <c r="M86" s="457">
        <f>SumByColor($A$19,M69:M84)</f>
        <v>0</v>
      </c>
    </row>
    <row r="92" spans="1:13" x14ac:dyDescent="0.25">
      <c r="B92" s="369" t="s">
        <v>113</v>
      </c>
      <c r="C92" s="370" t="s">
        <v>146</v>
      </c>
      <c r="D92" s="371" t="s">
        <v>145</v>
      </c>
      <c r="E92" s="371" t="s">
        <v>147</v>
      </c>
      <c r="F92" s="371" t="s">
        <v>65</v>
      </c>
      <c r="G92" s="371" t="s">
        <v>151</v>
      </c>
      <c r="H92" s="372" t="s">
        <v>88</v>
      </c>
      <c r="I92" s="371" t="s">
        <v>154</v>
      </c>
    </row>
    <row r="93" spans="1:13" x14ac:dyDescent="0.25">
      <c r="A93" s="510" t="s">
        <v>343</v>
      </c>
      <c r="B93" s="509">
        <v>42754</v>
      </c>
      <c r="C93" s="510">
        <v>25</v>
      </c>
      <c r="D93" s="511">
        <v>71.73</v>
      </c>
      <c r="E93" s="512">
        <v>75.55</v>
      </c>
      <c r="F93" s="512">
        <f>C93*(E93-D93)</f>
        <v>95.499999999999829</v>
      </c>
      <c r="G93" s="512">
        <f>D93*C93</f>
        <v>1793.25</v>
      </c>
      <c r="H93" s="554">
        <f>(E93-D93)/D93</f>
        <v>5.3255262791021787E-2</v>
      </c>
      <c r="I93" s="512">
        <v>70</v>
      </c>
    </row>
    <row r="94" spans="1:13" x14ac:dyDescent="0.25">
      <c r="A94" s="510" t="s">
        <v>374</v>
      </c>
      <c r="B94" s="509">
        <v>42761</v>
      </c>
      <c r="C94" s="510">
        <v>50</v>
      </c>
      <c r="D94" s="511">
        <v>72.155000000000001</v>
      </c>
      <c r="E94" s="512">
        <v>73.09</v>
      </c>
      <c r="F94" s="512">
        <f>C94*(E94-D94)</f>
        <v>46.750000000000114</v>
      </c>
      <c r="G94" s="512">
        <f>D94*C94</f>
        <v>3607.75</v>
      </c>
      <c r="H94" s="554">
        <f>(E94-D94)/D94</f>
        <v>1.2958214953918679E-2</v>
      </c>
      <c r="I94" s="512">
        <v>71</v>
      </c>
    </row>
    <row r="95" spans="1:13" x14ac:dyDescent="0.25">
      <c r="A95" s="510" t="s">
        <v>409</v>
      </c>
      <c r="B95" s="509">
        <v>42771</v>
      </c>
      <c r="C95" s="510">
        <v>50</v>
      </c>
      <c r="D95" s="511">
        <v>72.155000000000001</v>
      </c>
      <c r="E95" s="512">
        <v>74.87</v>
      </c>
      <c r="F95" s="512">
        <f>C95*(E95-D95)</f>
        <v>135.75000000000017</v>
      </c>
      <c r="G95" s="512">
        <f>D95*C95</f>
        <v>3607.75</v>
      </c>
      <c r="H95" s="554">
        <f>(E95-D95)/D95</f>
        <v>3.7627330053357402E-2</v>
      </c>
      <c r="I95" s="512"/>
    </row>
    <row r="96" spans="1:13" x14ac:dyDescent="0.25">
      <c r="A96" s="510" t="s">
        <v>414</v>
      </c>
      <c r="B96" s="509">
        <v>42773</v>
      </c>
      <c r="C96" s="510">
        <v>25</v>
      </c>
      <c r="D96" s="511">
        <v>66.531599999999997</v>
      </c>
      <c r="E96" s="512">
        <v>75.87</v>
      </c>
      <c r="F96" s="512">
        <f>C96*(E96-D96)</f>
        <v>233.46000000000018</v>
      </c>
      <c r="G96" s="512">
        <f>D96*C96</f>
        <v>1663.29</v>
      </c>
      <c r="H96" s="554">
        <f>(E96-D96)/D96</f>
        <v>0.14036037010984265</v>
      </c>
      <c r="I96" s="512"/>
    </row>
    <row r="97" spans="1:9" x14ac:dyDescent="0.25">
      <c r="A97" s="648"/>
      <c r="B97" s="649"/>
      <c r="C97" s="648"/>
      <c r="D97" s="650"/>
      <c r="E97" s="650"/>
      <c r="F97" s="650"/>
      <c r="G97" s="650"/>
      <c r="H97" s="651"/>
      <c r="I97" s="650"/>
    </row>
    <row r="98" spans="1:9" x14ac:dyDescent="0.25">
      <c r="A98" s="648" t="s">
        <v>449</v>
      </c>
      <c r="B98" s="649">
        <v>42787</v>
      </c>
      <c r="C98" s="648">
        <v>25</v>
      </c>
      <c r="D98" s="650">
        <v>72.58</v>
      </c>
      <c r="E98" s="650">
        <v>81.34</v>
      </c>
      <c r="F98" s="650">
        <f>C98*(E98-D98)</f>
        <v>219.00000000000011</v>
      </c>
      <c r="G98" s="650">
        <f>D98*C98</f>
        <v>1814.5</v>
      </c>
      <c r="H98" s="651">
        <f>(E98-D98)/D98</f>
        <v>0.12069440617249938</v>
      </c>
      <c r="I98" s="650"/>
    </row>
    <row r="99" spans="1:9" x14ac:dyDescent="0.25">
      <c r="A99" s="648"/>
      <c r="B99" s="649">
        <v>42796</v>
      </c>
      <c r="C99" s="648">
        <v>0</v>
      </c>
      <c r="D99" s="650"/>
      <c r="E99" s="650"/>
      <c r="F99" s="650">
        <v>244.96</v>
      </c>
      <c r="G99" s="650"/>
      <c r="H99" s="651"/>
      <c r="I99" s="650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767" priority="73">
      <formula>F25&gt;0</formula>
    </cfRule>
    <cfRule type="expression" dxfId="766" priority="74">
      <formula>F25&lt;0</formula>
    </cfRule>
  </conditionalFormatting>
  <conditionalFormatting sqref="F57:F64 F66">
    <cfRule type="expression" dxfId="765" priority="69">
      <formula>F57&gt;0</formula>
    </cfRule>
    <cfRule type="expression" dxfId="764" priority="70">
      <formula>F57&lt;0</formula>
    </cfRule>
  </conditionalFormatting>
  <conditionalFormatting sqref="F57:F64 F66">
    <cfRule type="expression" dxfId="763" priority="71">
      <formula>F57&gt;0</formula>
    </cfRule>
    <cfRule type="expression" dxfId="762" priority="72">
      <formula>F57&lt;0</formula>
    </cfRule>
  </conditionalFormatting>
  <conditionalFormatting sqref="H57:H64 H66">
    <cfRule type="expression" dxfId="761" priority="67">
      <formula>H57&gt;0</formula>
    </cfRule>
    <cfRule type="expression" dxfId="760" priority="68">
      <formula>H57&lt;0</formula>
    </cfRule>
  </conditionalFormatting>
  <conditionalFormatting sqref="Q7">
    <cfRule type="expression" dxfId="759" priority="49">
      <formula>Q7&gt;0</formula>
    </cfRule>
    <cfRule type="expression" dxfId="758" priority="50">
      <formula>Q7&lt;0</formula>
    </cfRule>
  </conditionalFormatting>
  <conditionalFormatting sqref="Q8">
    <cfRule type="expression" dxfId="757" priority="47">
      <formula>Q8&gt;0</formula>
    </cfRule>
    <cfRule type="expression" dxfId="756" priority="48">
      <formula>Q8&lt;0</formula>
    </cfRule>
  </conditionalFormatting>
  <conditionalFormatting sqref="F24">
    <cfRule type="expression" dxfId="755" priority="33">
      <formula>F24&gt;0</formula>
    </cfRule>
    <cfRule type="expression" dxfId="754" priority="34">
      <formula>F24&lt;0</formula>
    </cfRule>
  </conditionalFormatting>
  <conditionalFormatting sqref="H24">
    <cfRule type="expression" dxfId="753" priority="31">
      <formula>H24&gt;0</formula>
    </cfRule>
    <cfRule type="expression" dxfId="752" priority="32">
      <formula>H24&lt;0</formula>
    </cfRule>
  </conditionalFormatting>
  <conditionalFormatting sqref="M67">
    <cfRule type="expression" dxfId="751" priority="29">
      <formula>M67&gt;0</formula>
    </cfRule>
    <cfRule type="expression" dxfId="750" priority="30">
      <formula>M67&lt;0</formula>
    </cfRule>
  </conditionalFormatting>
  <conditionalFormatting sqref="F65">
    <cfRule type="expression" dxfId="749" priority="25">
      <formula>F65&gt;0</formula>
    </cfRule>
    <cfRule type="expression" dxfId="748" priority="26">
      <formula>F65&lt;0</formula>
    </cfRule>
  </conditionalFormatting>
  <conditionalFormatting sqref="F65">
    <cfRule type="expression" dxfId="747" priority="27">
      <formula>F65&gt;0</formula>
    </cfRule>
    <cfRule type="expression" dxfId="746" priority="28">
      <formula>F65&lt;0</formula>
    </cfRule>
  </conditionalFormatting>
  <conditionalFormatting sqref="H65">
    <cfRule type="expression" dxfId="745" priority="23">
      <formula>H65&gt;0</formula>
    </cfRule>
    <cfRule type="expression" dxfId="744" priority="24">
      <formula>H65&lt;0</formula>
    </cfRule>
  </conditionalFormatting>
  <conditionalFormatting sqref="F93:F97 H93:H97 H99:H124 F99:F124">
    <cfRule type="expression" dxfId="743" priority="19">
      <formula>F93&gt;0</formula>
    </cfRule>
    <cfRule type="expression" dxfId="742" priority="20">
      <formula>F93&lt;0</formula>
    </cfRule>
  </conditionalFormatting>
  <conditionalFormatting sqref="F125:F132 F134">
    <cfRule type="expression" dxfId="741" priority="15">
      <formula>F125&gt;0</formula>
    </cfRule>
    <cfRule type="expression" dxfId="740" priority="16">
      <formula>F125&lt;0</formula>
    </cfRule>
  </conditionalFormatting>
  <conditionalFormatting sqref="F125:F132 F134">
    <cfRule type="expression" dxfId="739" priority="17">
      <formula>F125&gt;0</formula>
    </cfRule>
    <cfRule type="expression" dxfId="738" priority="18">
      <formula>F125&lt;0</formula>
    </cfRule>
  </conditionalFormatting>
  <conditionalFormatting sqref="H125:H132 H134">
    <cfRule type="expression" dxfId="737" priority="13">
      <formula>H125&gt;0</formula>
    </cfRule>
    <cfRule type="expression" dxfId="736" priority="14">
      <formula>H125&lt;0</formula>
    </cfRule>
  </conditionalFormatting>
  <conditionalFormatting sqref="F92">
    <cfRule type="expression" dxfId="735" priority="11">
      <formula>F92&gt;0</formula>
    </cfRule>
    <cfRule type="expression" dxfId="734" priority="12">
      <formula>F92&lt;0</formula>
    </cfRule>
  </conditionalFormatting>
  <conditionalFormatting sqref="H92">
    <cfRule type="expression" dxfId="733" priority="9">
      <formula>H92&gt;0</formula>
    </cfRule>
    <cfRule type="expression" dxfId="732" priority="10">
      <formula>H92&lt;0</formula>
    </cfRule>
  </conditionalFormatting>
  <conditionalFormatting sqref="F133">
    <cfRule type="expression" dxfId="731" priority="5">
      <formula>F133&gt;0</formula>
    </cfRule>
    <cfRule type="expression" dxfId="730" priority="6">
      <formula>F133&lt;0</formula>
    </cfRule>
  </conditionalFormatting>
  <conditionalFormatting sqref="F133">
    <cfRule type="expression" dxfId="729" priority="7">
      <formula>F133&gt;0</formula>
    </cfRule>
    <cfRule type="expression" dxfId="728" priority="8">
      <formula>F133&lt;0</formula>
    </cfRule>
  </conditionalFormatting>
  <conditionalFormatting sqref="H133">
    <cfRule type="expression" dxfId="727" priority="3">
      <formula>H133&gt;0</formula>
    </cfRule>
    <cfRule type="expression" dxfId="726" priority="4">
      <formula>H133&lt;0</formula>
    </cfRule>
  </conditionalFormatting>
  <conditionalFormatting sqref="F98 H98">
    <cfRule type="expression" dxfId="725" priority="1">
      <formula>F98&gt;0</formula>
    </cfRule>
    <cfRule type="expression" dxfId="72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5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53.9</v>
      </c>
      <c r="R4" s="507">
        <v>5.1999999999999998E-3</v>
      </c>
      <c r="T4" s="496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5390</v>
      </c>
      <c r="T5" s="1">
        <v>42592</v>
      </c>
      <c r="U5" t="s">
        <v>262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266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1630.4699999999971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432</v>
      </c>
      <c r="R8" s="419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8.7131908027430413E-2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2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459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1" t="s">
        <v>78</v>
      </c>
      <c r="P42" s="811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59.290000000000006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58.751000000000005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58.212000000000003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57.673000000000002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57.134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56.594999999999999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56.055999999999997</v>
      </c>
      <c r="Q49" s="2"/>
      <c r="T49" s="91" t="s">
        <v>121</v>
      </c>
      <c r="U49" s="86" t="s">
        <v>338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55.517000000000003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54.978000000000002</v>
      </c>
      <c r="Q51" s="2"/>
      <c r="T51" s="91" t="s">
        <v>104</v>
      </c>
      <c r="U51" s="86" t="s">
        <v>677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54.439</v>
      </c>
      <c r="Q52" s="2"/>
      <c r="T52" s="91" t="s">
        <v>105</v>
      </c>
      <c r="U52" s="86" t="s">
        <v>328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53.9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53.360999999999997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52.821999999999996</v>
      </c>
      <c r="T55" s="91" t="s">
        <v>107</v>
      </c>
      <c r="U55" s="86" t="s">
        <v>603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52.282999999999994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51.744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51.204999999999998</v>
      </c>
      <c r="T58" s="91" t="s">
        <v>108</v>
      </c>
      <c r="U58" s="86" t="s">
        <v>574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50.665999999999997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50.127000000000002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49.588000000000001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49.048999999999999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48.51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6"/>
      <c r="C92" s="186"/>
      <c r="D92" s="187"/>
      <c r="E92" s="187"/>
      <c r="F92" s="187"/>
      <c r="G92" s="187"/>
      <c r="H92" s="517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1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1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4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0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49" t="s">
        <v>194</v>
      </c>
      <c r="B156" s="450"/>
      <c r="C156" s="451">
        <f>SumByColor($A$30,C128:C154)</f>
        <v>0</v>
      </c>
      <c r="D156" s="451"/>
      <c r="E156" s="451"/>
      <c r="F156" s="452">
        <f>SumByColor($A$30,F128:F154)</f>
        <v>0</v>
      </c>
      <c r="G156" s="451"/>
      <c r="H156" s="451">
        <f>SumByColor($A$30,H129:H154)</f>
        <v>0</v>
      </c>
      <c r="I156" s="451"/>
      <c r="J156" s="451"/>
      <c r="K156" s="452">
        <f>SumByColor($A$30,K129:K154)</f>
        <v>0</v>
      </c>
      <c r="L156" s="451"/>
      <c r="M156" s="452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5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263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6"/>
      <c r="C216" s="186"/>
      <c r="D216" s="187"/>
      <c r="E216" s="187"/>
      <c r="F216" s="187"/>
      <c r="G216" s="187"/>
      <c r="H216" s="517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723" priority="55">
      <formula>F45&gt;0</formula>
    </cfRule>
    <cfRule type="expression" dxfId="722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721" priority="57">
      <formula>F40&gt;0</formula>
    </cfRule>
    <cfRule type="expression" dxfId="720" priority="58">
      <formula>F40&lt;0</formula>
    </cfRule>
  </conditionalFormatting>
  <conditionalFormatting sqref="F45:F59 F61:F91 F93:F102">
    <cfRule type="expression" dxfId="719" priority="53">
      <formula>F45&gt;0</formula>
    </cfRule>
    <cfRule type="expression" dxfId="718" priority="54">
      <formula>F45&lt;0</formula>
    </cfRule>
  </conditionalFormatting>
  <conditionalFormatting sqref="H40:H59 H61:H91 H93:H102">
    <cfRule type="expression" dxfId="717" priority="51">
      <formula>H40&gt;0</formula>
    </cfRule>
    <cfRule type="expression" dxfId="716" priority="52">
      <formula>H40&lt;0</formula>
    </cfRule>
  </conditionalFormatting>
  <conditionalFormatting sqref="F36:F39">
    <cfRule type="expression" dxfId="715" priority="49">
      <formula>F36&gt;0</formula>
    </cfRule>
    <cfRule type="expression" dxfId="714" priority="50">
      <formula>F36&lt;0</formula>
    </cfRule>
  </conditionalFormatting>
  <conditionalFormatting sqref="H36:H39">
    <cfRule type="expression" dxfId="713" priority="47">
      <formula>H36&gt;0</formula>
    </cfRule>
    <cfRule type="expression" dxfId="712" priority="48">
      <formula>H36&lt;0</formula>
    </cfRule>
  </conditionalFormatting>
  <conditionalFormatting sqref="Q7">
    <cfRule type="expression" dxfId="711" priority="41">
      <formula>Q7&gt;0</formula>
    </cfRule>
    <cfRule type="expression" dxfId="710" priority="42">
      <formula>Q7&lt;0</formula>
    </cfRule>
  </conditionalFormatting>
  <conditionalFormatting sqref="Q8">
    <cfRule type="expression" dxfId="709" priority="39">
      <formula>Q8&gt;0</formula>
    </cfRule>
    <cfRule type="expression" dxfId="708" priority="40">
      <formula>Q8&lt;0</formula>
    </cfRule>
  </conditionalFormatting>
  <conditionalFormatting sqref="Q10">
    <cfRule type="expression" dxfId="707" priority="37">
      <formula>Q10&gt;0</formula>
    </cfRule>
    <cfRule type="expression" dxfId="706" priority="38">
      <formula>Q10&lt;0</formula>
    </cfRule>
  </conditionalFormatting>
  <conditionalFormatting sqref="F60">
    <cfRule type="expression" dxfId="705" priority="35">
      <formula>F60&gt;0</formula>
    </cfRule>
    <cfRule type="expression" dxfId="704" priority="36">
      <formula>F60&lt;0</formula>
    </cfRule>
  </conditionalFormatting>
  <conditionalFormatting sqref="F60">
    <cfRule type="expression" dxfId="703" priority="33">
      <formula>F60&gt;0</formula>
    </cfRule>
    <cfRule type="expression" dxfId="702" priority="34">
      <formula>F60&lt;0</formula>
    </cfRule>
  </conditionalFormatting>
  <conditionalFormatting sqref="H60">
    <cfRule type="expression" dxfId="701" priority="31">
      <formula>H60&gt;0</formula>
    </cfRule>
    <cfRule type="expression" dxfId="700" priority="32">
      <formula>H60&lt;0</formula>
    </cfRule>
  </conditionalFormatting>
  <conditionalFormatting sqref="F92">
    <cfRule type="expression" dxfId="699" priority="29">
      <formula>F92&gt;0</formula>
    </cfRule>
    <cfRule type="expression" dxfId="698" priority="30">
      <formula>F92&lt;0</formula>
    </cfRule>
  </conditionalFormatting>
  <conditionalFormatting sqref="F92">
    <cfRule type="expression" dxfId="697" priority="27">
      <formula>F92&gt;0</formula>
    </cfRule>
    <cfRule type="expression" dxfId="696" priority="28">
      <formula>F92&lt;0</formula>
    </cfRule>
  </conditionalFormatting>
  <conditionalFormatting sqref="H92">
    <cfRule type="expression" dxfId="695" priority="25">
      <formula>H92&gt;0</formula>
    </cfRule>
    <cfRule type="expression" dxfId="694" priority="26">
      <formula>H92&lt;0</formula>
    </cfRule>
  </conditionalFormatting>
  <conditionalFormatting sqref="F169:F183 F185:F215 F217:F226">
    <cfRule type="expression" dxfId="693" priority="21">
      <formula>F169&gt;0</formula>
    </cfRule>
    <cfRule type="expression" dxfId="692" priority="22">
      <formula>F169&lt;0</formula>
    </cfRule>
  </conditionalFormatting>
  <conditionalFormatting sqref="F164:F168">
    <cfRule type="expression" dxfId="691" priority="23">
      <formula>F164&gt;0</formula>
    </cfRule>
    <cfRule type="expression" dxfId="690" priority="24">
      <formula>F164&lt;0</formula>
    </cfRule>
  </conditionalFormatting>
  <conditionalFormatting sqref="F169:F183 F185:F215 F217:F226">
    <cfRule type="expression" dxfId="689" priority="19">
      <formula>F169&gt;0</formula>
    </cfRule>
    <cfRule type="expression" dxfId="688" priority="20">
      <formula>F169&lt;0</formula>
    </cfRule>
  </conditionalFormatting>
  <conditionalFormatting sqref="H164:H183 H185:H215 H217:H226">
    <cfRule type="expression" dxfId="687" priority="17">
      <formula>H164&gt;0</formula>
    </cfRule>
    <cfRule type="expression" dxfId="686" priority="18">
      <formula>H164&lt;0</formula>
    </cfRule>
  </conditionalFormatting>
  <conditionalFormatting sqref="F160:F163">
    <cfRule type="expression" dxfId="685" priority="15">
      <formula>F160&gt;0</formula>
    </cfRule>
    <cfRule type="expression" dxfId="684" priority="16">
      <formula>F160&lt;0</formula>
    </cfRule>
  </conditionalFormatting>
  <conditionalFormatting sqref="H160:H163">
    <cfRule type="expression" dxfId="683" priority="13">
      <formula>H160&gt;0</formula>
    </cfRule>
    <cfRule type="expression" dxfId="682" priority="14">
      <formula>H160&lt;0</formula>
    </cfRule>
  </conditionalFormatting>
  <conditionalFormatting sqref="F184">
    <cfRule type="expression" dxfId="681" priority="11">
      <formula>F184&gt;0</formula>
    </cfRule>
    <cfRule type="expression" dxfId="680" priority="12">
      <formula>F184&lt;0</formula>
    </cfRule>
  </conditionalFormatting>
  <conditionalFormatting sqref="F184">
    <cfRule type="expression" dxfId="679" priority="9">
      <formula>F184&gt;0</formula>
    </cfRule>
    <cfRule type="expression" dxfId="678" priority="10">
      <formula>F184&lt;0</formula>
    </cfRule>
  </conditionalFormatting>
  <conditionalFormatting sqref="H184">
    <cfRule type="expression" dxfId="677" priority="7">
      <formula>H184&gt;0</formula>
    </cfRule>
    <cfRule type="expression" dxfId="676" priority="8">
      <formula>H184&lt;0</formula>
    </cfRule>
  </conditionalFormatting>
  <conditionalFormatting sqref="F216">
    <cfRule type="expression" dxfId="675" priority="5">
      <formula>F216&gt;0</formula>
    </cfRule>
    <cfRule type="expression" dxfId="674" priority="6">
      <formula>F216&lt;0</formula>
    </cfRule>
  </conditionalFormatting>
  <conditionalFormatting sqref="F216">
    <cfRule type="expression" dxfId="673" priority="3">
      <formula>F216&gt;0</formula>
    </cfRule>
    <cfRule type="expression" dxfId="672" priority="4">
      <formula>F216&lt;0</formula>
    </cfRule>
  </conditionalFormatting>
  <conditionalFormatting sqref="H216">
    <cfRule type="expression" dxfId="671" priority="1">
      <formula>H216&gt;0</formula>
    </cfRule>
    <cfRule type="expression" dxfId="670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337</v>
      </c>
      <c r="B2" s="72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300</v>
      </c>
      <c r="T2" s="1">
        <v>43080</v>
      </c>
      <c r="U2" t="s">
        <v>817</v>
      </c>
    </row>
    <row r="3" spans="1:29" x14ac:dyDescent="0.25">
      <c r="A3" s="22" t="s">
        <v>71</v>
      </c>
      <c r="B3" s="485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19.853333333333332</v>
      </c>
      <c r="T3" s="1">
        <v>43088</v>
      </c>
      <c r="U3" t="s">
        <v>823</v>
      </c>
      <c r="Z3" s="229"/>
      <c r="AC3" s="229"/>
    </row>
    <row r="4" spans="1:29" x14ac:dyDescent="0.25">
      <c r="B4" s="485">
        <v>43151</v>
      </c>
      <c r="C4" s="4">
        <v>100</v>
      </c>
      <c r="D4" s="3">
        <v>19.8</v>
      </c>
      <c r="E4" s="3">
        <v>0</v>
      </c>
      <c r="F4" s="3">
        <f>C4*D4+E4</f>
        <v>1980</v>
      </c>
      <c r="G4" s="72"/>
      <c r="H4" s="180"/>
      <c r="I4" s="3"/>
      <c r="J4" s="3"/>
      <c r="K4" s="3"/>
      <c r="L4" s="72"/>
      <c r="M4" s="3"/>
      <c r="O4" s="11" t="s">
        <v>66</v>
      </c>
      <c r="Q4" s="196">
        <v>18.72</v>
      </c>
      <c r="R4" s="486">
        <v>-3.4099999999999998E-2</v>
      </c>
      <c r="U4" t="s">
        <v>824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5616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5955.9999999999991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-55.029999999995198</v>
      </c>
      <c r="R7">
        <v>100</v>
      </c>
      <c r="T7" s="1">
        <v>43103</v>
      </c>
      <c r="U7" t="s">
        <v>891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-340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-5.7085292142377446E-2</v>
      </c>
      <c r="U9" t="s">
        <v>985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1.5384615384615384E-2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300</v>
      </c>
      <c r="D17" s="18"/>
      <c r="E17" s="18"/>
      <c r="F17" s="18">
        <f>SUM(F2:F16)</f>
        <v>5956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 t="shared" ref="F21:F26" si="0">C21*(E21-D21)</f>
        <v>12.999999999999901</v>
      </c>
      <c r="G21" s="39">
        <f t="shared" ref="G21:G26" si="1">D21*C21</f>
        <v>2128</v>
      </c>
      <c r="H21" s="226">
        <f t="shared" ref="H21:H26" si="2">(E21-D21)/D21</f>
        <v>6.1090225563909303E-3</v>
      </c>
      <c r="I21" s="226"/>
      <c r="J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 t="shared" si="0"/>
        <v>-71.000000000000085</v>
      </c>
      <c r="G22" s="39">
        <f t="shared" si="1"/>
        <v>2128</v>
      </c>
      <c r="H22" s="226">
        <f t="shared" si="2"/>
        <v>-3.3364661654135375E-2</v>
      </c>
      <c r="I22" s="226"/>
      <c r="J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 t="shared" si="0"/>
        <v>-247.99999999999969</v>
      </c>
      <c r="G23" s="39">
        <f t="shared" si="1"/>
        <v>3976</v>
      </c>
      <c r="H23" s="226">
        <f t="shared" si="2"/>
        <v>-6.2374245472836945E-2</v>
      </c>
      <c r="I23" s="226"/>
      <c r="J23" s="226"/>
    </row>
    <row r="24" spans="1:13" x14ac:dyDescent="0.25">
      <c r="A24" s="10"/>
      <c r="B24" s="188">
        <v>43150</v>
      </c>
      <c r="C24" s="10">
        <v>200</v>
      </c>
      <c r="D24" s="39">
        <v>19.88</v>
      </c>
      <c r="E24" s="39">
        <v>20.9</v>
      </c>
      <c r="F24" s="39">
        <f t="shared" si="0"/>
        <v>203.99999999999991</v>
      </c>
      <c r="G24" s="39">
        <f t="shared" si="1"/>
        <v>3976</v>
      </c>
      <c r="H24" s="226">
        <f t="shared" si="2"/>
        <v>5.1307847082494952E-2</v>
      </c>
      <c r="I24" s="226"/>
      <c r="J24" s="743">
        <v>489</v>
      </c>
    </row>
    <row r="25" spans="1:13" x14ac:dyDescent="0.25">
      <c r="A25" s="10"/>
      <c r="B25" s="188">
        <v>43151</v>
      </c>
      <c r="C25" s="10">
        <v>300</v>
      </c>
      <c r="D25" s="39">
        <v>19.853300000000001</v>
      </c>
      <c r="E25" s="39">
        <v>19.8</v>
      </c>
      <c r="F25" s="39">
        <f t="shared" si="0"/>
        <v>-15.990000000000038</v>
      </c>
      <c r="G25" s="39">
        <f t="shared" si="1"/>
        <v>5955.9900000000007</v>
      </c>
      <c r="H25" s="226">
        <f t="shared" si="2"/>
        <v>-2.6846922174147431E-3</v>
      </c>
      <c r="I25" s="227"/>
      <c r="J25" s="743">
        <v>269</v>
      </c>
    </row>
    <row r="26" spans="1:13" x14ac:dyDescent="0.25">
      <c r="A26" s="10"/>
      <c r="B26" s="188">
        <v>43158</v>
      </c>
      <c r="C26" s="10">
        <v>300</v>
      </c>
      <c r="D26" s="39">
        <v>19.853300000000001</v>
      </c>
      <c r="E26" s="39">
        <v>19.38</v>
      </c>
      <c r="F26" s="39">
        <f t="shared" si="0"/>
        <v>-141.99000000000055</v>
      </c>
      <c r="G26" s="39">
        <f t="shared" si="1"/>
        <v>5955.9900000000007</v>
      </c>
      <c r="H26" s="226">
        <f t="shared" si="2"/>
        <v>-2.3839865412803002E-2</v>
      </c>
      <c r="I26" s="227"/>
      <c r="J26" s="743">
        <v>143</v>
      </c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  <c r="J27" s="743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  <c r="J28" s="743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  <c r="J29" s="743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  <c r="J30" s="743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  <c r="J31" s="743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  <c r="J32" s="743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  <c r="J33" s="743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  <c r="J34" s="743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  <c r="J35" s="743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  <c r="J36" s="743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  <c r="J37" s="743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  <c r="J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  <c r="J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  <c r="J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J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J42" s="227"/>
      <c r="O42" s="573" t="s">
        <v>78</v>
      </c>
      <c r="P42" s="573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J43" s="227"/>
      <c r="O43" s="81">
        <v>1.1000000000000001</v>
      </c>
      <c r="P43" s="81">
        <f>O43*$Q$4</f>
        <v>20.591999999999999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J44" s="227"/>
      <c r="O44" s="81">
        <v>1.0900000000000001</v>
      </c>
      <c r="P44" s="81">
        <f t="shared" ref="P44:P63" si="3">O44*$Q$4</f>
        <v>20.404800000000002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J45" s="227"/>
      <c r="O45" s="81">
        <v>1.08</v>
      </c>
      <c r="P45" s="81">
        <f t="shared" si="3"/>
        <v>20.217600000000001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J46" s="227"/>
      <c r="O46" s="81">
        <v>1.07</v>
      </c>
      <c r="P46" s="81">
        <f t="shared" si="3"/>
        <v>20.0304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J47" s="227"/>
      <c r="O47" s="81">
        <v>1.06</v>
      </c>
      <c r="P47" s="81">
        <f t="shared" si="3"/>
        <v>19.8432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J48" s="227"/>
      <c r="O48" s="81">
        <v>1.05</v>
      </c>
      <c r="P48" s="81">
        <f t="shared" si="3"/>
        <v>19.655999999999999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J49" s="227"/>
      <c r="O49" s="81">
        <v>1.04</v>
      </c>
      <c r="P49" s="81">
        <f t="shared" si="3"/>
        <v>19.468799999999998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J50" s="227"/>
      <c r="O50" s="81">
        <v>1.03</v>
      </c>
      <c r="P50" s="81">
        <f t="shared" si="3"/>
        <v>19.281600000000001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J51" s="227"/>
      <c r="O51" s="81">
        <v>1.02</v>
      </c>
      <c r="P51" s="81">
        <f t="shared" si="3"/>
        <v>19.0944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J52" s="227"/>
      <c r="O52" s="81">
        <v>1.01</v>
      </c>
      <c r="P52" s="81">
        <f t="shared" si="3"/>
        <v>18.9072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J53" s="227"/>
      <c r="O53" s="81">
        <v>1</v>
      </c>
      <c r="P53" s="81">
        <f t="shared" si="3"/>
        <v>18.72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J54" s="227"/>
      <c r="O54" s="81">
        <v>0.99</v>
      </c>
      <c r="P54" s="81">
        <f t="shared" si="3"/>
        <v>18.532799999999998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J55" s="227"/>
      <c r="O55" s="81">
        <v>0.98</v>
      </c>
      <c r="P55" s="81">
        <f t="shared" si="3"/>
        <v>18.345599999999997</v>
      </c>
      <c r="Q55" s="81"/>
    </row>
    <row r="56" spans="1:18" x14ac:dyDescent="0.25">
      <c r="O56" s="81">
        <v>0.97</v>
      </c>
      <c r="P56" s="81">
        <f t="shared" si="3"/>
        <v>18.158399999999997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3"/>
        <v>17.9712</v>
      </c>
      <c r="Q57" s="81"/>
    </row>
    <row r="58" spans="1:18" x14ac:dyDescent="0.25">
      <c r="A58" s="376" t="s">
        <v>1</v>
      </c>
      <c r="B58" s="376" t="s">
        <v>2</v>
      </c>
      <c r="C58" s="376" t="s">
        <v>4</v>
      </c>
      <c r="D58" s="378" t="s">
        <v>5</v>
      </c>
      <c r="E58" s="378" t="s">
        <v>94</v>
      </c>
      <c r="F58" s="378" t="s">
        <v>60</v>
      </c>
      <c r="G58" s="376" t="s">
        <v>3</v>
      </c>
      <c r="H58" s="376" t="s">
        <v>6</v>
      </c>
      <c r="I58" s="378" t="s">
        <v>7</v>
      </c>
      <c r="J58" s="378" t="s">
        <v>95</v>
      </c>
      <c r="K58" s="378" t="s">
        <v>61</v>
      </c>
      <c r="L58" s="376" t="s">
        <v>77</v>
      </c>
      <c r="M58" s="376" t="s">
        <v>38</v>
      </c>
      <c r="O58" s="81">
        <v>0.95</v>
      </c>
      <c r="P58" s="81">
        <f t="shared" si="3"/>
        <v>17.783999999999999</v>
      </c>
      <c r="Q58" s="81"/>
    </row>
    <row r="59" spans="1:18" x14ac:dyDescent="0.25">
      <c r="A59" s="379" t="s">
        <v>337</v>
      </c>
      <c r="B59" s="444">
        <v>42746</v>
      </c>
      <c r="C59" s="7">
        <v>80</v>
      </c>
      <c r="D59" s="43">
        <v>34.020000000000003</v>
      </c>
      <c r="E59" s="43">
        <v>0</v>
      </c>
      <c r="F59" s="43">
        <f t="shared" ref="F59:F67" si="4">C59*D59+E59</f>
        <v>2721.6000000000004</v>
      </c>
      <c r="G59" s="444">
        <v>42760</v>
      </c>
      <c r="H59" s="80">
        <v>80</v>
      </c>
      <c r="I59" s="43">
        <v>33.68</v>
      </c>
      <c r="J59" s="43">
        <v>0.06</v>
      </c>
      <c r="K59" s="43">
        <f t="shared" ref="K59:K67" si="5">H59*I59-J59</f>
        <v>2694.34</v>
      </c>
      <c r="L59" s="72">
        <v>42908</v>
      </c>
      <c r="M59" s="43">
        <v>54.4</v>
      </c>
      <c r="O59" s="81">
        <v>0.94</v>
      </c>
      <c r="P59" s="81">
        <f t="shared" si="3"/>
        <v>17.596799999999998</v>
      </c>
      <c r="Q59" s="81"/>
    </row>
    <row r="60" spans="1:18" x14ac:dyDescent="0.25">
      <c r="A60" s="380" t="s">
        <v>71</v>
      </c>
      <c r="B60" s="444">
        <v>42758</v>
      </c>
      <c r="C60" s="7">
        <v>40</v>
      </c>
      <c r="D60" s="43">
        <v>32.28</v>
      </c>
      <c r="E60" s="43">
        <v>0</v>
      </c>
      <c r="F60" s="43">
        <f t="shared" si="4"/>
        <v>1291.2</v>
      </c>
      <c r="G60" s="444">
        <v>42766</v>
      </c>
      <c r="H60" s="80">
        <v>40</v>
      </c>
      <c r="I60" s="43">
        <v>31.8</v>
      </c>
      <c r="J60" s="43">
        <v>0.03</v>
      </c>
      <c r="K60" s="43">
        <f t="shared" si="5"/>
        <v>1271.97</v>
      </c>
      <c r="L60" s="72">
        <v>42908</v>
      </c>
      <c r="M60" s="43">
        <v>-8.16</v>
      </c>
      <c r="O60" s="81">
        <v>0.93</v>
      </c>
      <c r="P60" s="81">
        <f t="shared" si="3"/>
        <v>17.409600000000001</v>
      </c>
      <c r="Q60" s="81"/>
    </row>
    <row r="61" spans="1:18" x14ac:dyDescent="0.25">
      <c r="A61" s="370"/>
      <c r="B61" s="444">
        <v>42843</v>
      </c>
      <c r="C61" s="7">
        <v>80</v>
      </c>
      <c r="D61" s="43">
        <v>31.08</v>
      </c>
      <c r="E61" s="43">
        <v>0</v>
      </c>
      <c r="F61" s="43">
        <f t="shared" si="4"/>
        <v>2486.3999999999996</v>
      </c>
      <c r="G61" s="444">
        <v>42901</v>
      </c>
      <c r="H61" s="80">
        <v>80</v>
      </c>
      <c r="I61" s="43">
        <v>31.3</v>
      </c>
      <c r="J61" s="43">
        <v>0.05</v>
      </c>
      <c r="K61" s="43">
        <f t="shared" si="5"/>
        <v>2503.9499999999998</v>
      </c>
      <c r="L61" s="72">
        <v>42992</v>
      </c>
      <c r="M61" s="43">
        <v>15.3</v>
      </c>
      <c r="O61" s="81">
        <v>0.92</v>
      </c>
      <c r="P61" s="81">
        <f t="shared" si="3"/>
        <v>17.2224</v>
      </c>
      <c r="Q61" s="81"/>
    </row>
    <row r="62" spans="1:18" x14ac:dyDescent="0.25">
      <c r="A62" s="370"/>
      <c r="B62" s="444">
        <v>42873</v>
      </c>
      <c r="C62" s="7">
        <v>80</v>
      </c>
      <c r="D62" s="43">
        <v>29.68</v>
      </c>
      <c r="E62" s="43">
        <v>0</v>
      </c>
      <c r="F62" s="43">
        <f t="shared" si="4"/>
        <v>2374.4</v>
      </c>
      <c r="G62" s="444">
        <v>42989</v>
      </c>
      <c r="H62" s="80">
        <v>100</v>
      </c>
      <c r="I62" s="43">
        <v>18.559999999999999</v>
      </c>
      <c r="J62" s="43">
        <v>0.04</v>
      </c>
      <c r="K62" s="43">
        <f t="shared" si="5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3"/>
        <v>17.0352</v>
      </c>
      <c r="Q62" s="81"/>
    </row>
    <row r="63" spans="1:18" x14ac:dyDescent="0.25">
      <c r="A63" s="370"/>
      <c r="B63" s="444">
        <v>42957</v>
      </c>
      <c r="C63" s="7">
        <v>100</v>
      </c>
      <c r="D63" s="43">
        <v>17.28</v>
      </c>
      <c r="E63" s="43">
        <v>0</v>
      </c>
      <c r="F63" s="43">
        <f t="shared" si="4"/>
        <v>1728</v>
      </c>
      <c r="G63" s="444">
        <v>43010</v>
      </c>
      <c r="H63" s="80">
        <v>80</v>
      </c>
      <c r="I63" s="43">
        <v>18.68</v>
      </c>
      <c r="J63" s="43">
        <v>0.03</v>
      </c>
      <c r="K63" s="43">
        <f t="shared" si="5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3"/>
        <v>16.847999999999999</v>
      </c>
      <c r="Q63" s="81"/>
    </row>
    <row r="64" spans="1:18" x14ac:dyDescent="0.25">
      <c r="A64" s="370"/>
      <c r="B64" s="444">
        <v>42996</v>
      </c>
      <c r="C64" s="7">
        <v>100</v>
      </c>
      <c r="D64" s="43">
        <v>17.68</v>
      </c>
      <c r="E64" s="43">
        <v>0</v>
      </c>
      <c r="F64" s="43">
        <f t="shared" si="4"/>
        <v>1768</v>
      </c>
      <c r="G64" s="444">
        <v>43045</v>
      </c>
      <c r="H64" s="80">
        <v>200</v>
      </c>
      <c r="I64" s="43">
        <v>12.08</v>
      </c>
      <c r="J64" s="43">
        <v>0.06</v>
      </c>
      <c r="K64" s="43">
        <f t="shared" si="5"/>
        <v>2415.94</v>
      </c>
      <c r="L64" s="4"/>
      <c r="M64" s="4"/>
      <c r="O64" s="33"/>
    </row>
    <row r="65" spans="1:15" x14ac:dyDescent="0.25">
      <c r="A65" s="370"/>
      <c r="B65" s="444">
        <v>43011</v>
      </c>
      <c r="C65" s="7">
        <v>80</v>
      </c>
      <c r="D65" s="43">
        <v>17.95</v>
      </c>
      <c r="E65" s="43">
        <v>0</v>
      </c>
      <c r="F65" s="43">
        <f t="shared" si="4"/>
        <v>1436</v>
      </c>
      <c r="G65" s="444">
        <v>43070</v>
      </c>
      <c r="H65" s="80">
        <v>80</v>
      </c>
      <c r="I65" s="43">
        <v>15.27</v>
      </c>
      <c r="J65" s="43">
        <v>0.03</v>
      </c>
      <c r="K65" s="43">
        <f t="shared" si="5"/>
        <v>1221.57</v>
      </c>
    </row>
    <row r="66" spans="1:15" x14ac:dyDescent="0.25">
      <c r="A66" s="370"/>
      <c r="B66" s="444">
        <v>43013</v>
      </c>
      <c r="C66" s="7">
        <v>100</v>
      </c>
      <c r="D66" s="43">
        <v>15.8</v>
      </c>
      <c r="E66" s="43">
        <v>0</v>
      </c>
      <c r="F66" s="43">
        <f t="shared" si="4"/>
        <v>1580</v>
      </c>
      <c r="G66" s="444">
        <v>43111</v>
      </c>
      <c r="H66" s="80">
        <v>100</v>
      </c>
      <c r="I66" s="43">
        <v>21.31</v>
      </c>
      <c r="J66" s="43">
        <v>-0.05</v>
      </c>
      <c r="K66" s="43">
        <f t="shared" si="5"/>
        <v>2131.0500000000002</v>
      </c>
    </row>
    <row r="67" spans="1:15" x14ac:dyDescent="0.25">
      <c r="A67" s="370"/>
      <c r="B67" s="444">
        <v>43041</v>
      </c>
      <c r="C67" s="7">
        <v>200</v>
      </c>
      <c r="D67" s="43">
        <v>11.28</v>
      </c>
      <c r="E67" s="43">
        <v>0</v>
      </c>
      <c r="F67" s="43">
        <f t="shared" si="4"/>
        <v>2256</v>
      </c>
      <c r="G67" s="444">
        <v>43112</v>
      </c>
      <c r="H67" s="80">
        <v>100</v>
      </c>
      <c r="I67" s="43">
        <v>22.58</v>
      </c>
      <c r="J67" s="43">
        <v>0.05</v>
      </c>
      <c r="K67" s="43">
        <f t="shared" si="5"/>
        <v>2257.9499999999998</v>
      </c>
    </row>
    <row r="68" spans="1:15" x14ac:dyDescent="0.25">
      <c r="A68" s="370"/>
      <c r="B68" s="370"/>
      <c r="C68" s="370"/>
      <c r="D68" s="371"/>
      <c r="E68" s="371"/>
      <c r="F68" s="371"/>
      <c r="G68" s="370"/>
      <c r="H68" s="370"/>
      <c r="I68" s="371"/>
      <c r="J68" s="371"/>
      <c r="K68" s="371"/>
      <c r="L68" s="370"/>
      <c r="M68" s="370"/>
    </row>
    <row r="69" spans="1:15" x14ac:dyDescent="0.25">
      <c r="A69" s="370"/>
      <c r="B69" s="370"/>
      <c r="C69" s="370"/>
      <c r="D69" s="371"/>
      <c r="E69" s="371"/>
      <c r="F69" s="371"/>
      <c r="G69" s="370"/>
      <c r="H69" s="370"/>
      <c r="I69" s="371"/>
      <c r="J69" s="371"/>
      <c r="K69" s="371"/>
      <c r="L69" s="370"/>
      <c r="M69" s="370"/>
      <c r="O69" s="33"/>
    </row>
    <row r="70" spans="1:15" x14ac:dyDescent="0.25">
      <c r="A70" s="370"/>
      <c r="B70" s="370"/>
      <c r="C70" s="370"/>
      <c r="D70" s="371"/>
      <c r="E70" s="371"/>
      <c r="F70" s="371"/>
      <c r="G70" s="370"/>
      <c r="H70" s="370"/>
      <c r="I70" s="371"/>
      <c r="J70" s="371"/>
      <c r="K70" s="371"/>
      <c r="L70" s="370"/>
      <c r="M70" s="370"/>
    </row>
    <row r="71" spans="1:15" x14ac:dyDescent="0.25">
      <c r="A71" s="370"/>
      <c r="B71" s="370"/>
      <c r="C71" s="370"/>
      <c r="D71" s="371"/>
      <c r="E71" s="371"/>
      <c r="F71" s="371"/>
      <c r="G71" s="370"/>
      <c r="H71" s="370"/>
      <c r="I71" s="371"/>
      <c r="J71" s="371"/>
      <c r="K71" s="371"/>
      <c r="L71" s="370"/>
      <c r="M71" s="370"/>
    </row>
    <row r="72" spans="1:15" x14ac:dyDescent="0.25">
      <c r="A72" s="370"/>
      <c r="B72" s="370"/>
      <c r="C72" s="370"/>
      <c r="D72" s="371"/>
      <c r="E72" s="371"/>
      <c r="F72" s="371"/>
      <c r="G72" s="370"/>
      <c r="H72" s="370"/>
      <c r="I72" s="371"/>
      <c r="J72" s="371"/>
      <c r="K72" s="371"/>
      <c r="L72" s="370"/>
      <c r="M72" s="370"/>
    </row>
    <row r="73" spans="1:15" x14ac:dyDescent="0.25">
      <c r="A73" s="370"/>
      <c r="B73" s="370"/>
      <c r="C73" s="370"/>
      <c r="D73" s="371"/>
      <c r="E73" s="371"/>
      <c r="F73" s="371"/>
      <c r="G73" s="370"/>
      <c r="H73" s="370"/>
      <c r="I73" s="371"/>
      <c r="J73" s="371"/>
      <c r="K73" s="371"/>
      <c r="L73" s="370"/>
      <c r="M73" s="370"/>
    </row>
    <row r="74" spans="1:15" x14ac:dyDescent="0.25">
      <c r="A74" s="370"/>
      <c r="B74" s="370"/>
      <c r="C74" s="370"/>
      <c r="D74" s="371"/>
      <c r="E74" s="371"/>
      <c r="F74" s="371"/>
      <c r="G74" s="370"/>
      <c r="H74" s="370"/>
      <c r="I74" s="371"/>
      <c r="J74" s="371"/>
      <c r="K74" s="371"/>
      <c r="L74" s="370"/>
      <c r="M74" s="370"/>
    </row>
    <row r="75" spans="1:15" x14ac:dyDescent="0.25">
      <c r="A75" s="370"/>
      <c r="B75" s="370"/>
      <c r="C75" s="370"/>
      <c r="D75" s="371"/>
      <c r="E75" s="371"/>
      <c r="F75" s="371"/>
      <c r="G75" s="370"/>
      <c r="H75" s="370"/>
      <c r="I75" s="371"/>
      <c r="J75" s="371"/>
      <c r="K75" s="371"/>
      <c r="L75" s="370"/>
      <c r="M75" s="370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69" t="s">
        <v>231</v>
      </c>
      <c r="B81" s="769" t="s">
        <v>113</v>
      </c>
      <c r="C81" s="769" t="s">
        <v>146</v>
      </c>
      <c r="D81" s="770" t="s">
        <v>145</v>
      </c>
      <c r="E81" s="771" t="s">
        <v>147</v>
      </c>
      <c r="F81" s="772" t="s">
        <v>65</v>
      </c>
      <c r="G81" s="773" t="s">
        <v>151</v>
      </c>
      <c r="H81" s="772" t="s">
        <v>88</v>
      </c>
      <c r="I81" s="772" t="s">
        <v>154</v>
      </c>
    </row>
    <row r="82" spans="1:9" x14ac:dyDescent="0.25">
      <c r="A82" s="774"/>
      <c r="B82" s="775"/>
      <c r="C82" s="774"/>
      <c r="D82" s="776"/>
      <c r="E82" s="776"/>
      <c r="F82" s="776"/>
      <c r="G82" s="776"/>
      <c r="H82" s="777"/>
      <c r="I82" s="777"/>
    </row>
    <row r="83" spans="1:9" x14ac:dyDescent="0.25">
      <c r="A83" s="774"/>
      <c r="B83" s="775">
        <v>42746</v>
      </c>
      <c r="C83" s="774">
        <v>80</v>
      </c>
      <c r="D83" s="776">
        <v>34.020000000000003</v>
      </c>
      <c r="E83" s="776">
        <v>34.28</v>
      </c>
      <c r="F83" s="776">
        <f>C83*(E83-D83)</f>
        <v>20.799999999999841</v>
      </c>
      <c r="G83" s="776">
        <f>D83*C83</f>
        <v>2721.6000000000004</v>
      </c>
      <c r="H83" s="777">
        <f>(E83-D83)/D83</f>
        <v>7.6425631981186948E-3</v>
      </c>
      <c r="I83" s="777"/>
    </row>
    <row r="84" spans="1:9" x14ac:dyDescent="0.25">
      <c r="A84" s="774"/>
      <c r="B84" s="775">
        <v>42758</v>
      </c>
      <c r="C84" s="774">
        <v>120</v>
      </c>
      <c r="D84" s="776">
        <v>33.44</v>
      </c>
      <c r="E84" s="776">
        <v>32.71</v>
      </c>
      <c r="F84" s="776">
        <f>C84*(E84-D84)</f>
        <v>-87.599999999999625</v>
      </c>
      <c r="G84" s="776">
        <f>D84*C84</f>
        <v>4012.7999999999997</v>
      </c>
      <c r="H84" s="777">
        <f>(E84-D84)/D84</f>
        <v>-2.1830143540669766E-2</v>
      </c>
      <c r="I84" s="777"/>
    </row>
    <row r="85" spans="1:9" x14ac:dyDescent="0.25">
      <c r="A85" s="774" t="s">
        <v>371</v>
      </c>
      <c r="B85" s="775">
        <v>42760</v>
      </c>
      <c r="C85" s="774">
        <v>40</v>
      </c>
      <c r="D85" s="776">
        <v>32.961500000000001</v>
      </c>
      <c r="E85" s="776">
        <v>33.68</v>
      </c>
      <c r="F85" s="776">
        <f>C85*(E85-D85)</f>
        <v>28.739999999999952</v>
      </c>
      <c r="G85" s="776">
        <f>D85*C85</f>
        <v>1318.46</v>
      </c>
      <c r="H85" s="777">
        <f>(E85-D85)/D85</f>
        <v>2.1798158457594429E-2</v>
      </c>
      <c r="I85" s="777"/>
    </row>
    <row r="86" spans="1:9" x14ac:dyDescent="0.25">
      <c r="A86" s="774"/>
      <c r="B86" s="775">
        <v>42766</v>
      </c>
      <c r="C86" s="774">
        <v>0</v>
      </c>
      <c r="D86" s="776"/>
      <c r="E86" s="776"/>
      <c r="F86" s="776">
        <v>-46.49</v>
      </c>
      <c r="G86" s="776"/>
      <c r="H86" s="777"/>
      <c r="I86" s="777"/>
    </row>
    <row r="87" spans="1:9" x14ac:dyDescent="0.25">
      <c r="A87" s="774">
        <v>0</v>
      </c>
      <c r="B87" s="775">
        <v>42843</v>
      </c>
      <c r="C87" s="774">
        <v>80</v>
      </c>
      <c r="D87" s="776">
        <v>31.661100000000001</v>
      </c>
      <c r="E87" s="776">
        <v>30.99</v>
      </c>
      <c r="F87" s="776">
        <f t="shared" ref="F87:F106" si="6">C87*(E87-D87)</f>
        <v>-53.688000000000216</v>
      </c>
      <c r="G87" s="776">
        <f t="shared" ref="G87:G106" si="7">D87*C87</f>
        <v>2532.8879999999999</v>
      </c>
      <c r="H87" s="777">
        <f t="shared" ref="H87:H106" si="8">(E87-D87)/D87</f>
        <v>-2.1196357675507253E-2</v>
      </c>
      <c r="I87" s="778"/>
    </row>
    <row r="88" spans="1:9" x14ac:dyDescent="0.25">
      <c r="A88" s="774">
        <v>0</v>
      </c>
      <c r="B88" s="775">
        <v>42873</v>
      </c>
      <c r="C88" s="774">
        <v>160</v>
      </c>
      <c r="D88" s="776">
        <v>30.6706</v>
      </c>
      <c r="E88" s="776">
        <v>29.73</v>
      </c>
      <c r="F88" s="776">
        <f t="shared" si="6"/>
        <v>-150.49599999999998</v>
      </c>
      <c r="G88" s="776">
        <f t="shared" si="7"/>
        <v>4907.2960000000003</v>
      </c>
      <c r="H88" s="778">
        <f t="shared" si="8"/>
        <v>-3.0667805651014322E-2</v>
      </c>
      <c r="I88" s="778"/>
    </row>
    <row r="89" spans="1:9" x14ac:dyDescent="0.25">
      <c r="A89" s="774"/>
      <c r="B89" s="775">
        <v>42901</v>
      </c>
      <c r="C89" s="774">
        <v>80</v>
      </c>
      <c r="D89" s="776">
        <v>30.041799999999999</v>
      </c>
      <c r="E89" s="776">
        <v>30.43</v>
      </c>
      <c r="F89" s="776">
        <f t="shared" si="6"/>
        <v>31.056000000000097</v>
      </c>
      <c r="G89" s="776">
        <f t="shared" si="7"/>
        <v>2403.3440000000001</v>
      </c>
      <c r="H89" s="778">
        <f t="shared" si="8"/>
        <v>1.2921995353141331E-2</v>
      </c>
      <c r="I89" s="778"/>
    </row>
    <row r="90" spans="1:9" x14ac:dyDescent="0.25">
      <c r="A90" s="774">
        <v>80</v>
      </c>
      <c r="B90" s="775">
        <v>42917</v>
      </c>
      <c r="C90" s="774">
        <v>80</v>
      </c>
      <c r="D90" s="776">
        <v>29.463799999999999</v>
      </c>
      <c r="E90" s="776">
        <v>33.22</v>
      </c>
      <c r="F90" s="776">
        <f t="shared" si="6"/>
        <v>300.49599999999998</v>
      </c>
      <c r="G90" s="776">
        <f t="shared" si="7"/>
        <v>2357.1039999999998</v>
      </c>
      <c r="H90" s="778">
        <f t="shared" si="8"/>
        <v>0.12748525309023276</v>
      </c>
      <c r="I90" s="778"/>
    </row>
    <row r="91" spans="1:9" x14ac:dyDescent="0.25">
      <c r="A91" s="774">
        <v>80</v>
      </c>
      <c r="B91" s="775">
        <v>42957</v>
      </c>
      <c r="C91" s="774">
        <v>180</v>
      </c>
      <c r="D91" s="776">
        <v>22.695</v>
      </c>
      <c r="E91" s="776">
        <v>17.190000000000001</v>
      </c>
      <c r="F91" s="776">
        <f t="shared" si="6"/>
        <v>-990.89999999999986</v>
      </c>
      <c r="G91" s="776">
        <f t="shared" si="7"/>
        <v>4085.1</v>
      </c>
      <c r="H91" s="778">
        <f t="shared" si="8"/>
        <v>-0.24256444150693982</v>
      </c>
      <c r="I91" s="778"/>
    </row>
    <row r="92" spans="1:9" x14ac:dyDescent="0.25">
      <c r="A92" s="774">
        <v>80</v>
      </c>
      <c r="B92" s="775">
        <v>42983</v>
      </c>
      <c r="C92" s="774">
        <v>180</v>
      </c>
      <c r="D92" s="776">
        <v>22.695</v>
      </c>
      <c r="E92" s="776">
        <v>15.41</v>
      </c>
      <c r="F92" s="776">
        <f t="shared" si="6"/>
        <v>-1311.3</v>
      </c>
      <c r="G92" s="776">
        <f t="shared" si="7"/>
        <v>4085.1</v>
      </c>
      <c r="H92" s="778">
        <f t="shared" si="8"/>
        <v>-0.32099581405595945</v>
      </c>
      <c r="I92" s="778"/>
    </row>
    <row r="93" spans="1:9" x14ac:dyDescent="0.25">
      <c r="A93" s="774">
        <v>80</v>
      </c>
      <c r="B93" s="775">
        <v>42989</v>
      </c>
      <c r="C93" s="774">
        <v>80</v>
      </c>
      <c r="D93" s="776">
        <v>27.8643</v>
      </c>
      <c r="E93" s="776">
        <v>18.5</v>
      </c>
      <c r="F93" s="776">
        <f t="shared" si="6"/>
        <v>-749.14400000000001</v>
      </c>
      <c r="G93" s="776">
        <f t="shared" si="7"/>
        <v>2229.1440000000002</v>
      </c>
      <c r="H93" s="778">
        <f t="shared" si="8"/>
        <v>-0.33606801534580089</v>
      </c>
      <c r="I93" s="778"/>
    </row>
    <row r="94" spans="1:9" x14ac:dyDescent="0.25">
      <c r="A94" s="774">
        <v>80</v>
      </c>
      <c r="B94" s="775">
        <v>42996</v>
      </c>
      <c r="C94" s="774">
        <v>180</v>
      </c>
      <c r="D94" s="776">
        <v>22.1341</v>
      </c>
      <c r="E94" s="776">
        <v>16.989999999999998</v>
      </c>
      <c r="F94" s="776">
        <f t="shared" si="6"/>
        <v>-925.93800000000033</v>
      </c>
      <c r="G94" s="776">
        <f t="shared" si="7"/>
        <v>3984.1379999999999</v>
      </c>
      <c r="H94" s="778">
        <f t="shared" si="8"/>
        <v>-0.23240610641498871</v>
      </c>
      <c r="I94" s="778"/>
    </row>
    <row r="95" spans="1:9" x14ac:dyDescent="0.25">
      <c r="A95" s="774">
        <v>0</v>
      </c>
      <c r="B95" s="775">
        <v>43010</v>
      </c>
      <c r="C95" s="774">
        <v>100</v>
      </c>
      <c r="D95" s="776">
        <v>24.8977</v>
      </c>
      <c r="E95" s="776">
        <v>18.47</v>
      </c>
      <c r="F95" s="776">
        <f t="shared" si="6"/>
        <v>-642.77000000000021</v>
      </c>
      <c r="G95" s="776">
        <f t="shared" si="7"/>
        <v>2489.77</v>
      </c>
      <c r="H95" s="778">
        <f t="shared" si="8"/>
        <v>-0.25816440876064861</v>
      </c>
      <c r="I95" s="778"/>
    </row>
    <row r="96" spans="1:9" x14ac:dyDescent="0.25">
      <c r="A96" s="774">
        <v>0</v>
      </c>
      <c r="B96" s="775">
        <v>43011</v>
      </c>
      <c r="C96" s="774">
        <v>180</v>
      </c>
      <c r="D96" s="776">
        <v>21.809799999999999</v>
      </c>
      <c r="E96" s="776">
        <v>18.82</v>
      </c>
      <c r="F96" s="776">
        <f t="shared" si="6"/>
        <v>-538.16399999999976</v>
      </c>
      <c r="G96" s="776">
        <f t="shared" si="7"/>
        <v>3925.7639999999997</v>
      </c>
      <c r="H96" s="778">
        <f t="shared" si="8"/>
        <v>-0.13708516355033054</v>
      </c>
      <c r="I96" s="776">
        <v>21.5</v>
      </c>
    </row>
    <row r="97" spans="1:9" x14ac:dyDescent="0.25">
      <c r="A97" s="774">
        <v>0</v>
      </c>
      <c r="B97" s="775">
        <v>43012</v>
      </c>
      <c r="C97" s="774">
        <v>180</v>
      </c>
      <c r="D97" s="776">
        <v>21.81</v>
      </c>
      <c r="E97" s="776">
        <v>16.079999999999998</v>
      </c>
      <c r="F97" s="776">
        <f t="shared" si="6"/>
        <v>-1031.4000000000001</v>
      </c>
      <c r="G97" s="776">
        <f t="shared" si="7"/>
        <v>3925.7999999999997</v>
      </c>
      <c r="H97" s="778">
        <f t="shared" si="8"/>
        <v>-0.2627235213204952</v>
      </c>
      <c r="I97" s="778"/>
    </row>
    <row r="98" spans="1:9" x14ac:dyDescent="0.25">
      <c r="A98" s="774">
        <v>0</v>
      </c>
      <c r="B98" s="775">
        <v>43013</v>
      </c>
      <c r="C98" s="774">
        <v>280</v>
      </c>
      <c r="D98" s="776">
        <v>19.663499999999999</v>
      </c>
      <c r="E98" s="776">
        <v>15.68</v>
      </c>
      <c r="F98" s="776">
        <f t="shared" si="6"/>
        <v>-1115.3799999999999</v>
      </c>
      <c r="G98" s="776">
        <f t="shared" si="7"/>
        <v>5505.78</v>
      </c>
      <c r="H98" s="778">
        <f t="shared" si="8"/>
        <v>-0.2025834668294047</v>
      </c>
      <c r="I98" s="776">
        <v>19.5</v>
      </c>
    </row>
    <row r="99" spans="1:9" x14ac:dyDescent="0.25">
      <c r="A99" s="774">
        <v>100</v>
      </c>
      <c r="B99" s="775">
        <v>43031</v>
      </c>
      <c r="C99" s="774">
        <v>280</v>
      </c>
      <c r="D99" s="776">
        <v>19.663499999999999</v>
      </c>
      <c r="E99" s="776">
        <v>14.54</v>
      </c>
      <c r="F99" s="776">
        <f t="shared" si="6"/>
        <v>-1434.58</v>
      </c>
      <c r="G99" s="776">
        <f t="shared" si="7"/>
        <v>5505.78</v>
      </c>
      <c r="H99" s="778">
        <f t="shared" si="8"/>
        <v>-0.26055890355226691</v>
      </c>
      <c r="I99" s="776"/>
    </row>
    <row r="100" spans="1:9" x14ac:dyDescent="0.25">
      <c r="A100" s="774"/>
      <c r="B100" s="775">
        <v>43044</v>
      </c>
      <c r="C100" s="774">
        <v>480</v>
      </c>
      <c r="D100" s="776">
        <v>16.170000000000002</v>
      </c>
      <c r="E100" s="776">
        <v>11.4</v>
      </c>
      <c r="F100" s="776">
        <f t="shared" si="6"/>
        <v>-2289.6000000000008</v>
      </c>
      <c r="G100" s="776">
        <f t="shared" si="7"/>
        <v>7761.6</v>
      </c>
      <c r="H100" s="778">
        <f t="shared" si="8"/>
        <v>-0.29499072356215217</v>
      </c>
      <c r="I100" s="778"/>
    </row>
    <row r="101" spans="1:9" x14ac:dyDescent="0.25">
      <c r="A101" s="774">
        <v>80</v>
      </c>
      <c r="B101" s="775">
        <v>43045</v>
      </c>
      <c r="C101" s="774">
        <v>280</v>
      </c>
      <c r="D101" s="776">
        <v>19.092300000000002</v>
      </c>
      <c r="E101" s="776">
        <v>12.41</v>
      </c>
      <c r="F101" s="776">
        <f t="shared" si="6"/>
        <v>-1871.0440000000003</v>
      </c>
      <c r="G101" s="776">
        <f t="shared" si="7"/>
        <v>5345.8440000000001</v>
      </c>
      <c r="H101" s="778">
        <f t="shared" si="8"/>
        <v>-0.34999973811431839</v>
      </c>
      <c r="I101" s="779" t="s">
        <v>809</v>
      </c>
    </row>
    <row r="102" spans="1:9" x14ac:dyDescent="0.25">
      <c r="A102" s="774">
        <v>0</v>
      </c>
      <c r="B102" s="775">
        <v>43070</v>
      </c>
      <c r="C102" s="774">
        <v>200</v>
      </c>
      <c r="D102" s="776">
        <v>20.621300000000002</v>
      </c>
      <c r="E102" s="776">
        <v>15.26</v>
      </c>
      <c r="F102" s="776">
        <f t="shared" si="6"/>
        <v>-1072.2600000000004</v>
      </c>
      <c r="G102" s="776">
        <f t="shared" si="7"/>
        <v>4124.26</v>
      </c>
      <c r="H102" s="778">
        <f t="shared" si="8"/>
        <v>-0.25998845853559188</v>
      </c>
      <c r="I102" s="778"/>
    </row>
    <row r="103" spans="1:9" x14ac:dyDescent="0.25">
      <c r="A103" s="774">
        <v>200</v>
      </c>
      <c r="B103" s="775">
        <v>43077</v>
      </c>
      <c r="C103" s="774">
        <v>200</v>
      </c>
      <c r="D103" s="776">
        <v>20.62</v>
      </c>
      <c r="E103" s="776">
        <v>16.059999999999999</v>
      </c>
      <c r="F103" s="776">
        <f t="shared" si="6"/>
        <v>-912.00000000000045</v>
      </c>
      <c r="G103" s="776">
        <f t="shared" si="7"/>
        <v>4124</v>
      </c>
      <c r="H103" s="778">
        <f t="shared" si="8"/>
        <v>-0.22114451988360825</v>
      </c>
      <c r="I103" s="778"/>
    </row>
    <row r="104" spans="1:9" x14ac:dyDescent="0.25">
      <c r="A104" s="774">
        <v>200</v>
      </c>
      <c r="B104" s="775">
        <v>43082</v>
      </c>
      <c r="C104" s="774">
        <v>200</v>
      </c>
      <c r="D104" s="776">
        <v>20.52</v>
      </c>
      <c r="E104" s="776">
        <v>15.7</v>
      </c>
      <c r="F104" s="776">
        <f t="shared" si="6"/>
        <v>-964</v>
      </c>
      <c r="G104" s="776">
        <f t="shared" si="7"/>
        <v>4104</v>
      </c>
      <c r="H104" s="778">
        <f t="shared" si="8"/>
        <v>-0.23489278752436649</v>
      </c>
      <c r="I104" s="778" t="s">
        <v>185</v>
      </c>
    </row>
    <row r="105" spans="1:9" x14ac:dyDescent="0.25">
      <c r="A105" s="774">
        <v>200</v>
      </c>
      <c r="B105" s="775">
        <v>43083</v>
      </c>
      <c r="C105" s="774">
        <v>200</v>
      </c>
      <c r="D105" s="776">
        <v>20.520199999999999</v>
      </c>
      <c r="E105" s="776">
        <v>19.22</v>
      </c>
      <c r="F105" s="776">
        <f t="shared" si="6"/>
        <v>-260.04000000000008</v>
      </c>
      <c r="G105" s="776">
        <f t="shared" si="7"/>
        <v>4104.04</v>
      </c>
      <c r="H105" s="778">
        <f t="shared" si="8"/>
        <v>-6.3361955536495762E-2</v>
      </c>
      <c r="I105" s="778"/>
    </row>
    <row r="106" spans="1:9" x14ac:dyDescent="0.25">
      <c r="A106" s="774">
        <v>100</v>
      </c>
      <c r="B106" s="775">
        <v>43111</v>
      </c>
      <c r="C106" s="774">
        <v>100</v>
      </c>
      <c r="D106" s="776">
        <v>19.73</v>
      </c>
      <c r="E106" s="776">
        <v>21.74</v>
      </c>
      <c r="F106" s="776">
        <f t="shared" si="6"/>
        <v>200.9999999999998</v>
      </c>
      <c r="G106" s="776">
        <f t="shared" si="7"/>
        <v>1973</v>
      </c>
      <c r="H106" s="778">
        <f t="shared" si="8"/>
        <v>0.10187531677648241</v>
      </c>
      <c r="I106" s="778"/>
    </row>
    <row r="107" spans="1:9" x14ac:dyDescent="0.25">
      <c r="A107" s="774"/>
      <c r="B107" s="775">
        <v>43112</v>
      </c>
      <c r="C107" s="774">
        <v>0</v>
      </c>
      <c r="D107" s="776"/>
      <c r="E107" s="776">
        <v>22.07</v>
      </c>
      <c r="F107" s="776">
        <v>284.97000000000003</v>
      </c>
      <c r="G107" s="776"/>
      <c r="H107" s="778"/>
      <c r="I107" s="778"/>
    </row>
    <row r="108" spans="1:9" x14ac:dyDescent="0.25">
      <c r="A108" s="774"/>
      <c r="B108" s="775"/>
      <c r="C108" s="774"/>
      <c r="D108" s="776"/>
      <c r="E108" s="776"/>
      <c r="F108" s="776"/>
      <c r="G108" s="776"/>
      <c r="H108" s="778"/>
      <c r="I108" s="778"/>
    </row>
    <row r="109" spans="1:9" x14ac:dyDescent="0.25">
      <c r="A109" s="774"/>
      <c r="B109" s="775"/>
      <c r="C109" s="774"/>
      <c r="D109" s="776"/>
      <c r="E109" s="776"/>
      <c r="F109" s="776"/>
      <c r="G109" s="776"/>
      <c r="H109" s="778"/>
      <c r="I109" s="778"/>
    </row>
    <row r="110" spans="1:9" x14ac:dyDescent="0.25">
      <c r="A110" s="774"/>
      <c r="B110" s="775"/>
      <c r="C110" s="774"/>
      <c r="D110" s="776"/>
      <c r="E110" s="776"/>
      <c r="F110" s="776"/>
      <c r="G110" s="776"/>
      <c r="H110" s="778"/>
      <c r="I110" s="778"/>
    </row>
    <row r="111" spans="1:9" x14ac:dyDescent="0.25">
      <c r="A111" s="774"/>
      <c r="B111" s="775"/>
      <c r="C111" s="774"/>
      <c r="D111" s="776"/>
      <c r="E111" s="776"/>
      <c r="F111" s="776"/>
      <c r="G111" s="776"/>
      <c r="H111" s="778"/>
      <c r="I111" s="778"/>
    </row>
    <row r="112" spans="1:9" x14ac:dyDescent="0.25">
      <c r="A112" s="774"/>
      <c r="B112" s="775"/>
      <c r="C112" s="774"/>
      <c r="D112" s="776"/>
      <c r="E112" s="776"/>
      <c r="F112" s="776"/>
      <c r="G112" s="776"/>
      <c r="H112" s="778"/>
      <c r="I112" s="778"/>
    </row>
    <row r="113" spans="1:9" x14ac:dyDescent="0.25">
      <c r="A113" s="774"/>
      <c r="B113" s="775"/>
      <c r="C113" s="774"/>
      <c r="D113" s="776"/>
      <c r="E113" s="776"/>
      <c r="F113" s="776"/>
      <c r="G113" s="776"/>
      <c r="H113" s="778"/>
      <c r="I113" s="778"/>
    </row>
    <row r="114" spans="1:9" x14ac:dyDescent="0.25">
      <c r="A114" s="774"/>
      <c r="B114" s="775"/>
      <c r="C114" s="774"/>
      <c r="D114" s="776"/>
      <c r="E114" s="776"/>
      <c r="F114" s="776"/>
      <c r="G114" s="776"/>
      <c r="H114" s="778"/>
      <c r="I114" s="778"/>
    </row>
    <row r="115" spans="1:9" x14ac:dyDescent="0.25">
      <c r="A115" s="774"/>
      <c r="B115" s="775"/>
      <c r="C115" s="774"/>
      <c r="D115" s="776"/>
      <c r="E115" s="776"/>
      <c r="F115" s="776"/>
      <c r="G115" s="776"/>
      <c r="H115" s="778"/>
      <c r="I115" s="778"/>
    </row>
    <row r="116" spans="1:9" x14ac:dyDescent="0.25">
      <c r="A116" s="774"/>
      <c r="B116" s="775"/>
      <c r="C116" s="774"/>
      <c r="D116" s="776"/>
      <c r="E116" s="776"/>
      <c r="F116" s="776"/>
      <c r="G116" s="776"/>
      <c r="H116" s="778"/>
      <c r="I116" s="778"/>
    </row>
    <row r="117" spans="1:9" x14ac:dyDescent="0.25">
      <c r="A117" s="774"/>
      <c r="B117" s="775"/>
      <c r="C117" s="774"/>
      <c r="D117" s="776"/>
      <c r="E117" s="776"/>
      <c r="F117" s="776"/>
      <c r="G117" s="776"/>
      <c r="H117" s="778"/>
      <c r="I117" s="778"/>
    </row>
    <row r="118" spans="1:9" x14ac:dyDescent="0.25">
      <c r="A118" s="774"/>
      <c r="B118" s="775"/>
      <c r="C118" s="774"/>
      <c r="D118" s="776"/>
      <c r="E118" s="776"/>
      <c r="F118" s="776"/>
      <c r="G118" s="776"/>
      <c r="H118" s="778"/>
      <c r="I118" s="778"/>
    </row>
  </sheetData>
  <conditionalFormatting sqref="O43:O63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669" priority="99">
      <formula>F27&gt;0</formula>
    </cfRule>
    <cfRule type="expression" dxfId="668" priority="100">
      <formula>F27&lt;0</formula>
    </cfRule>
  </conditionalFormatting>
  <conditionalFormatting sqref="H27:H28">
    <cfRule type="expression" dxfId="667" priority="97">
      <formula>H27&gt;0</formula>
    </cfRule>
    <cfRule type="expression" dxfId="666" priority="98">
      <formula>H27&lt;0</formula>
    </cfRule>
  </conditionalFormatting>
  <conditionalFormatting sqref="H29:H30">
    <cfRule type="expression" dxfId="665" priority="93">
      <formula>H29&gt;0</formula>
    </cfRule>
    <cfRule type="expression" dxfId="664" priority="94">
      <formula>H29&lt;0</formula>
    </cfRule>
  </conditionalFormatting>
  <conditionalFormatting sqref="H31:H55">
    <cfRule type="expression" dxfId="663" priority="91">
      <formula>H31&gt;0</formula>
    </cfRule>
    <cfRule type="expression" dxfId="662" priority="92">
      <formula>H31&lt;0</formula>
    </cfRule>
  </conditionalFormatting>
  <conditionalFormatting sqref="F31">
    <cfRule type="expression" dxfId="661" priority="85">
      <formula>F31&gt;0</formula>
    </cfRule>
    <cfRule type="expression" dxfId="660" priority="86">
      <formula>F31&lt;0</formula>
    </cfRule>
  </conditionalFormatting>
  <conditionalFormatting sqref="I25:I27">
    <cfRule type="expression" dxfId="659" priority="83">
      <formula>I25&gt;0</formula>
    </cfRule>
    <cfRule type="expression" dxfId="658" priority="84">
      <formula>I25&lt;0</formula>
    </cfRule>
  </conditionalFormatting>
  <conditionalFormatting sqref="I28">
    <cfRule type="expression" dxfId="657" priority="81">
      <formula>I28&gt;0</formula>
    </cfRule>
    <cfRule type="expression" dxfId="656" priority="82">
      <formula>I28&lt;0</formula>
    </cfRule>
  </conditionalFormatting>
  <conditionalFormatting sqref="I29">
    <cfRule type="expression" dxfId="655" priority="79">
      <formula>I29&gt;0</formula>
    </cfRule>
    <cfRule type="expression" dxfId="654" priority="80">
      <formula>I29&lt;0</formula>
    </cfRule>
  </conditionalFormatting>
  <conditionalFormatting sqref="I30:I33 I35 I38:J38 I40:J55">
    <cfRule type="expression" dxfId="653" priority="77">
      <formula>I30&gt;0</formula>
    </cfRule>
    <cfRule type="expression" dxfId="652" priority="78">
      <formula>I30&lt;0</formula>
    </cfRule>
  </conditionalFormatting>
  <conditionalFormatting sqref="I21:J24">
    <cfRule type="expression" dxfId="651" priority="75">
      <formula>I21&gt;0</formula>
    </cfRule>
    <cfRule type="expression" dxfId="650" priority="76">
      <formula>I21&lt;0</formula>
    </cfRule>
  </conditionalFormatting>
  <conditionalFormatting sqref="F32:F55">
    <cfRule type="expression" dxfId="649" priority="73">
      <formula>F32&gt;0</formula>
    </cfRule>
    <cfRule type="expression" dxfId="648" priority="74">
      <formula>F32&lt;0</formula>
    </cfRule>
  </conditionalFormatting>
  <conditionalFormatting sqref="Q8">
    <cfRule type="expression" dxfId="647" priority="69">
      <formula>Q8&gt;0</formula>
    </cfRule>
    <cfRule type="expression" dxfId="646" priority="70">
      <formula>Q8&lt;0</formula>
    </cfRule>
  </conditionalFormatting>
  <conditionalFormatting sqref="Q7">
    <cfRule type="expression" dxfId="645" priority="71">
      <formula>Q7&gt;0</formula>
    </cfRule>
    <cfRule type="expression" dxfId="644" priority="72">
      <formula>Q7&lt;0</formula>
    </cfRule>
  </conditionalFormatting>
  <conditionalFormatting sqref="F82">
    <cfRule type="expression" dxfId="643" priority="57">
      <formula>F82&gt;0</formula>
    </cfRule>
    <cfRule type="expression" dxfId="642" priority="58">
      <formula>F82&lt;0</formula>
    </cfRule>
  </conditionalFormatting>
  <conditionalFormatting sqref="H82">
    <cfRule type="expression" dxfId="641" priority="55">
      <formula>H82&gt;0</formula>
    </cfRule>
    <cfRule type="expression" dxfId="640" priority="56">
      <formula>H82&lt;0</formula>
    </cfRule>
  </conditionalFormatting>
  <conditionalFormatting sqref="I82">
    <cfRule type="expression" dxfId="639" priority="43">
      <formula>I82&gt;0</formula>
    </cfRule>
    <cfRule type="expression" dxfId="638" priority="44">
      <formula>I82&lt;0</formula>
    </cfRule>
  </conditionalFormatting>
  <conditionalFormatting sqref="F25:F26">
    <cfRule type="expression" dxfId="637" priority="39">
      <formula>F25&gt;0</formula>
    </cfRule>
    <cfRule type="expression" dxfId="636" priority="40">
      <formula>F25&lt;0</formula>
    </cfRule>
  </conditionalFormatting>
  <conditionalFormatting sqref="H25:H26">
    <cfRule type="expression" dxfId="635" priority="37">
      <formula>H25&gt;0</formula>
    </cfRule>
    <cfRule type="expression" dxfId="634" priority="38">
      <formula>H25&lt;0</formula>
    </cfRule>
  </conditionalFormatting>
  <conditionalFormatting sqref="F88:F92">
    <cfRule type="expression" dxfId="633" priority="35">
      <formula>F88&gt;0</formula>
    </cfRule>
    <cfRule type="expression" dxfId="632" priority="36">
      <formula>F88&lt;0</formula>
    </cfRule>
  </conditionalFormatting>
  <conditionalFormatting sqref="H88:H90">
    <cfRule type="expression" dxfId="631" priority="33">
      <formula>H88&gt;0</formula>
    </cfRule>
    <cfRule type="expression" dxfId="630" priority="34">
      <formula>H88&lt;0</formula>
    </cfRule>
  </conditionalFormatting>
  <conditionalFormatting sqref="H91:H92">
    <cfRule type="expression" dxfId="629" priority="31">
      <formula>H91&gt;0</formula>
    </cfRule>
    <cfRule type="expression" dxfId="628" priority="32">
      <formula>H91&lt;0</formula>
    </cfRule>
  </conditionalFormatting>
  <conditionalFormatting sqref="H93:H118">
    <cfRule type="expression" dxfId="627" priority="29">
      <formula>H93&gt;0</formula>
    </cfRule>
    <cfRule type="expression" dxfId="626" priority="30">
      <formula>H93&lt;0</formula>
    </cfRule>
  </conditionalFormatting>
  <conditionalFormatting sqref="F83:F86">
    <cfRule type="expression" dxfId="625" priority="27">
      <formula>F83&gt;0</formula>
    </cfRule>
    <cfRule type="expression" dxfId="624" priority="28">
      <formula>F83&lt;0</formula>
    </cfRule>
  </conditionalFormatting>
  <conditionalFormatting sqref="H83:H86">
    <cfRule type="expression" dxfId="623" priority="25">
      <formula>H83&gt;0</formula>
    </cfRule>
    <cfRule type="expression" dxfId="622" priority="26">
      <formula>H83&lt;0</formula>
    </cfRule>
  </conditionalFormatting>
  <conditionalFormatting sqref="F93">
    <cfRule type="expression" dxfId="621" priority="23">
      <formula>F93&gt;0</formula>
    </cfRule>
    <cfRule type="expression" dxfId="620" priority="24">
      <formula>F93&lt;0</formula>
    </cfRule>
  </conditionalFormatting>
  <conditionalFormatting sqref="I87:I89">
    <cfRule type="expression" dxfId="619" priority="21">
      <formula>I87&gt;0</formula>
    </cfRule>
    <cfRule type="expression" dxfId="618" priority="22">
      <formula>I87&lt;0</formula>
    </cfRule>
  </conditionalFormatting>
  <conditionalFormatting sqref="I90">
    <cfRule type="expression" dxfId="617" priority="19">
      <formula>I90&gt;0</formula>
    </cfRule>
    <cfRule type="expression" dxfId="616" priority="20">
      <formula>I90&lt;0</formula>
    </cfRule>
  </conditionalFormatting>
  <conditionalFormatting sqref="I91">
    <cfRule type="expression" dxfId="615" priority="17">
      <formula>I91&gt;0</formula>
    </cfRule>
    <cfRule type="expression" dxfId="614" priority="18">
      <formula>I91&lt;0</formula>
    </cfRule>
  </conditionalFormatting>
  <conditionalFormatting sqref="I92:I95 I97 I100 I102:I118">
    <cfRule type="expression" dxfId="613" priority="15">
      <formula>I92&gt;0</formula>
    </cfRule>
    <cfRule type="expression" dxfId="612" priority="16">
      <formula>I92&lt;0</formula>
    </cfRule>
  </conditionalFormatting>
  <conditionalFormatting sqref="I83:I86">
    <cfRule type="expression" dxfId="611" priority="13">
      <formula>I83&gt;0</formula>
    </cfRule>
    <cfRule type="expression" dxfId="610" priority="14">
      <formula>I83&lt;0</formula>
    </cfRule>
  </conditionalFormatting>
  <conditionalFormatting sqref="F94:F118">
    <cfRule type="expression" dxfId="609" priority="11">
      <formula>F94&gt;0</formula>
    </cfRule>
    <cfRule type="expression" dxfId="608" priority="12">
      <formula>F94&lt;0</formula>
    </cfRule>
  </conditionalFormatting>
  <conditionalFormatting sqref="F87">
    <cfRule type="expression" dxfId="607" priority="9">
      <formula>F87&gt;0</formula>
    </cfRule>
    <cfRule type="expression" dxfId="606" priority="10">
      <formula>F87&lt;0</formula>
    </cfRule>
  </conditionalFormatting>
  <conditionalFormatting sqref="H87">
    <cfRule type="expression" dxfId="605" priority="7">
      <formula>H87&gt;0</formula>
    </cfRule>
    <cfRule type="expression" dxfId="604" priority="8">
      <formula>H87&lt;0</formula>
    </cfRule>
  </conditionalFormatting>
  <conditionalFormatting sqref="F21:F24">
    <cfRule type="expression" dxfId="603" priority="5">
      <formula>F21&gt;0</formula>
    </cfRule>
    <cfRule type="expression" dxfId="602" priority="6">
      <formula>F21&lt;0</formula>
    </cfRule>
  </conditionalFormatting>
  <conditionalFormatting sqref="H21:H24">
    <cfRule type="expression" dxfId="601" priority="3">
      <formula>H21&gt;0</formula>
    </cfRule>
    <cfRule type="expression" dxfId="600" priority="4">
      <formula>H21&lt;0</formula>
    </cfRule>
  </conditionalFormatting>
  <conditionalFormatting sqref="J25:J37">
    <cfRule type="expression" dxfId="599" priority="1">
      <formula>J25&gt;0</formula>
    </cfRule>
    <cfRule type="expression" dxfId="598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103.16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103.16</v>
      </c>
      <c r="R4" s="486">
        <v>-1.6299999999999999E-2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11" t="s">
        <v>78</v>
      </c>
      <c r="P40" s="811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113.476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112.4444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111.4128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110.38120000000001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109.3496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108.318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107.2864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106.2548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105.22319999999999</v>
      </c>
      <c r="Q49" s="2"/>
      <c r="T49" s="91" t="s">
        <v>103</v>
      </c>
      <c r="U49" s="86" t="s">
        <v>531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104.19159999999999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103.16</v>
      </c>
      <c r="Q51" s="2"/>
      <c r="T51" s="91" t="s">
        <v>104</v>
      </c>
      <c r="U51" s="86" t="s">
        <v>678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102.1284</v>
      </c>
      <c r="Q52" s="2"/>
      <c r="T52" s="91" t="s">
        <v>105</v>
      </c>
      <c r="U52" s="86" t="s">
        <v>679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101.0968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100.06519999999999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99.033599999999993</v>
      </c>
      <c r="T55" s="91" t="s">
        <v>107</v>
      </c>
      <c r="U55" s="86" t="s">
        <v>680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98.001999999999995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96.970399999999998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95.938800000000001</v>
      </c>
      <c r="T58" s="91" t="s">
        <v>108</v>
      </c>
      <c r="U58" s="86" t="s">
        <v>553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94.907200000000003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93.875600000000006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92.843999999999994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7" t="s">
        <v>1</v>
      </c>
      <c r="B82" s="537" t="s">
        <v>2</v>
      </c>
      <c r="C82" s="537" t="s">
        <v>4</v>
      </c>
      <c r="D82" s="538" t="s">
        <v>5</v>
      </c>
      <c r="E82" s="538" t="s">
        <v>94</v>
      </c>
      <c r="F82" s="538" t="s">
        <v>60</v>
      </c>
      <c r="G82" s="537" t="s">
        <v>3</v>
      </c>
      <c r="H82" s="537" t="s">
        <v>6</v>
      </c>
      <c r="I82" s="538" t="s">
        <v>7</v>
      </c>
      <c r="J82" s="538" t="s">
        <v>95</v>
      </c>
      <c r="K82" s="538" t="s">
        <v>61</v>
      </c>
      <c r="L82" s="537" t="s">
        <v>37</v>
      </c>
      <c r="M82" s="537" t="s">
        <v>38</v>
      </c>
    </row>
    <row r="83" spans="1:13" x14ac:dyDescent="0.25">
      <c r="A83" s="539" t="s">
        <v>63</v>
      </c>
      <c r="B83" s="536">
        <v>42226</v>
      </c>
      <c r="C83" s="540">
        <v>10</v>
      </c>
      <c r="D83" s="541">
        <v>113.72</v>
      </c>
      <c r="E83" s="541">
        <v>0</v>
      </c>
      <c r="F83" s="541">
        <f t="shared" ref="F83:F92" si="12">C83*D83</f>
        <v>1137.2</v>
      </c>
      <c r="G83" s="536">
        <v>42304</v>
      </c>
      <c r="H83" s="542">
        <v>30</v>
      </c>
      <c r="I83" s="541">
        <v>111.35</v>
      </c>
      <c r="J83" s="541">
        <v>0.06</v>
      </c>
      <c r="K83" s="541">
        <f t="shared" ref="K83:K88" si="13">I83*H83-J83</f>
        <v>3340.44</v>
      </c>
      <c r="L83" s="536">
        <v>42580</v>
      </c>
      <c r="M83" s="541">
        <v>10.65</v>
      </c>
    </row>
    <row r="84" spans="1:13" x14ac:dyDescent="0.25">
      <c r="A84" s="543" t="s">
        <v>71</v>
      </c>
      <c r="B84" s="536">
        <v>42226</v>
      </c>
      <c r="C84" s="540">
        <v>5</v>
      </c>
      <c r="D84" s="541">
        <v>112.2</v>
      </c>
      <c r="E84" s="541">
        <v>0</v>
      </c>
      <c r="F84" s="541">
        <f t="shared" si="12"/>
        <v>561</v>
      </c>
      <c r="G84" s="536">
        <v>42416</v>
      </c>
      <c r="H84" s="542">
        <v>15</v>
      </c>
      <c r="I84" s="541">
        <v>92.85</v>
      </c>
      <c r="J84" s="541">
        <v>0.03</v>
      </c>
      <c r="K84" s="541">
        <f t="shared" si="13"/>
        <v>1392.72</v>
      </c>
      <c r="L84" s="540"/>
      <c r="M84" s="540"/>
    </row>
    <row r="85" spans="1:13" x14ac:dyDescent="0.25">
      <c r="A85" s="540"/>
      <c r="B85" s="536">
        <v>42226</v>
      </c>
      <c r="C85" s="540">
        <v>5</v>
      </c>
      <c r="D85" s="541">
        <v>110.93</v>
      </c>
      <c r="E85" s="541">
        <v>0</v>
      </c>
      <c r="F85" s="541">
        <f t="shared" si="12"/>
        <v>554.65000000000009</v>
      </c>
      <c r="G85" s="536">
        <v>42482</v>
      </c>
      <c r="H85" s="542">
        <v>10</v>
      </c>
      <c r="I85" s="541">
        <v>103.71</v>
      </c>
      <c r="J85" s="541">
        <v>0.02</v>
      </c>
      <c r="K85" s="541">
        <f t="shared" si="13"/>
        <v>1037.08</v>
      </c>
      <c r="L85" s="540"/>
      <c r="M85" s="540"/>
    </row>
    <row r="86" spans="1:13" x14ac:dyDescent="0.25">
      <c r="A86" s="540"/>
      <c r="B86" s="536">
        <v>42227</v>
      </c>
      <c r="C86" s="540">
        <v>10</v>
      </c>
      <c r="D86" s="541">
        <v>105</v>
      </c>
      <c r="E86" s="541">
        <v>0</v>
      </c>
      <c r="F86" s="541">
        <f t="shared" si="12"/>
        <v>1050</v>
      </c>
      <c r="G86" s="536">
        <v>42592</v>
      </c>
      <c r="H86" s="542">
        <v>15</v>
      </c>
      <c r="I86" s="541">
        <v>97.88</v>
      </c>
      <c r="J86" s="541">
        <v>0.03</v>
      </c>
      <c r="K86" s="541">
        <f t="shared" si="13"/>
        <v>1468.1699999999998</v>
      </c>
      <c r="L86" s="540"/>
      <c r="M86" s="540"/>
    </row>
    <row r="87" spans="1:13" x14ac:dyDescent="0.25">
      <c r="A87" s="540"/>
      <c r="B87" s="536">
        <v>42374</v>
      </c>
      <c r="C87" s="540">
        <v>25</v>
      </c>
      <c r="D87" s="541">
        <v>100.9</v>
      </c>
      <c r="E87" s="541">
        <v>0</v>
      </c>
      <c r="F87" s="541">
        <f t="shared" si="12"/>
        <v>2522.5</v>
      </c>
      <c r="G87" s="536">
        <v>42684</v>
      </c>
      <c r="H87" s="542">
        <v>50</v>
      </c>
      <c r="I87" s="541">
        <v>97.5</v>
      </c>
      <c r="J87" s="541">
        <v>0.11</v>
      </c>
      <c r="K87" s="541">
        <f t="shared" si="13"/>
        <v>4874.8900000000003</v>
      </c>
      <c r="L87" s="540"/>
      <c r="M87" s="540"/>
    </row>
    <row r="88" spans="1:13" x14ac:dyDescent="0.25">
      <c r="A88" s="540"/>
      <c r="B88" s="536">
        <v>42409</v>
      </c>
      <c r="C88" s="540">
        <v>15</v>
      </c>
      <c r="D88" s="541">
        <v>88.5</v>
      </c>
      <c r="E88" s="541">
        <v>0</v>
      </c>
      <c r="F88" s="541">
        <f t="shared" si="12"/>
        <v>1327.5</v>
      </c>
      <c r="G88" s="536">
        <v>42684</v>
      </c>
      <c r="H88" s="542">
        <v>20</v>
      </c>
      <c r="I88" s="541">
        <v>95.71</v>
      </c>
      <c r="J88" s="541">
        <v>0.04</v>
      </c>
      <c r="K88" s="541">
        <f t="shared" si="13"/>
        <v>1914.1599999999999</v>
      </c>
      <c r="L88" s="540"/>
      <c r="M88" s="540"/>
    </row>
    <row r="89" spans="1:13" x14ac:dyDescent="0.25">
      <c r="A89" s="540"/>
      <c r="B89" s="536">
        <v>42586</v>
      </c>
      <c r="C89" s="540">
        <v>15</v>
      </c>
      <c r="D89" s="541">
        <v>94.88</v>
      </c>
      <c r="E89" s="541">
        <v>0</v>
      </c>
      <c r="F89" s="541">
        <f t="shared" si="12"/>
        <v>1423.1999999999998</v>
      </c>
      <c r="G89" s="540"/>
      <c r="H89" s="542"/>
      <c r="I89" s="541"/>
      <c r="J89" s="541"/>
      <c r="K89" s="541"/>
      <c r="L89" s="540"/>
      <c r="M89" s="540"/>
    </row>
    <row r="90" spans="1:13" x14ac:dyDescent="0.25">
      <c r="A90" s="540"/>
      <c r="B90" s="536">
        <v>42594</v>
      </c>
      <c r="C90" s="540">
        <v>15</v>
      </c>
      <c r="D90" s="541">
        <v>96.85</v>
      </c>
      <c r="E90" s="541">
        <v>0</v>
      </c>
      <c r="F90" s="541">
        <f t="shared" si="12"/>
        <v>1452.75</v>
      </c>
      <c r="G90" s="540"/>
      <c r="H90" s="542"/>
      <c r="I90" s="541"/>
      <c r="J90" s="541"/>
      <c r="K90" s="541"/>
      <c r="L90" s="540"/>
      <c r="M90" s="540"/>
    </row>
    <row r="91" spans="1:13" x14ac:dyDescent="0.25">
      <c r="A91" s="540"/>
      <c r="B91" s="536">
        <v>42611</v>
      </c>
      <c r="C91" s="540">
        <v>25</v>
      </c>
      <c r="D91" s="541">
        <v>94.58</v>
      </c>
      <c r="E91" s="541">
        <v>0</v>
      </c>
      <c r="F91" s="541">
        <f t="shared" si="12"/>
        <v>2364.5</v>
      </c>
      <c r="G91" s="540"/>
      <c r="H91" s="540"/>
      <c r="I91" s="541"/>
      <c r="J91" s="541"/>
      <c r="K91" s="541"/>
      <c r="L91" s="540"/>
      <c r="M91" s="540"/>
    </row>
    <row r="92" spans="1:13" x14ac:dyDescent="0.25">
      <c r="A92" s="540"/>
      <c r="B92" s="536">
        <v>42622</v>
      </c>
      <c r="C92" s="540">
        <v>15</v>
      </c>
      <c r="D92" s="541">
        <v>92.5</v>
      </c>
      <c r="E92" s="541">
        <v>0</v>
      </c>
      <c r="F92" s="541">
        <f t="shared" si="12"/>
        <v>1387.5</v>
      </c>
      <c r="G92" s="540"/>
      <c r="H92" s="540"/>
      <c r="I92" s="541"/>
      <c r="J92" s="541"/>
      <c r="K92" s="541"/>
      <c r="L92" s="540"/>
      <c r="M92" s="540"/>
    </row>
    <row r="93" spans="1:13" x14ac:dyDescent="0.25">
      <c r="A93" s="540"/>
      <c r="B93" s="540"/>
      <c r="C93" s="540"/>
      <c r="D93" s="541"/>
      <c r="E93" s="541"/>
      <c r="F93" s="541"/>
      <c r="G93" s="540"/>
      <c r="H93" s="540"/>
      <c r="I93" s="541"/>
      <c r="J93" s="541"/>
      <c r="K93" s="541"/>
      <c r="L93" s="540"/>
      <c r="M93" s="540"/>
    </row>
    <row r="94" spans="1:13" x14ac:dyDescent="0.25">
      <c r="A94" s="540"/>
      <c r="B94" s="540"/>
      <c r="C94" s="540"/>
      <c r="D94" s="541"/>
      <c r="E94" s="541"/>
      <c r="F94" s="541"/>
      <c r="G94" s="540"/>
      <c r="H94" s="540"/>
      <c r="I94" s="541"/>
      <c r="J94" s="541"/>
      <c r="K94" s="541"/>
      <c r="L94" s="540"/>
      <c r="M94" s="540"/>
    </row>
    <row r="95" spans="1:13" x14ac:dyDescent="0.25">
      <c r="A95" s="540"/>
      <c r="B95" s="540"/>
      <c r="C95" s="540"/>
      <c r="D95" s="541"/>
      <c r="E95" s="541"/>
      <c r="F95" s="541"/>
      <c r="G95" s="540"/>
      <c r="H95" s="540"/>
      <c r="I95" s="541"/>
      <c r="J95" s="541"/>
      <c r="K95" s="541"/>
      <c r="L95" s="540"/>
      <c r="M95" s="540"/>
    </row>
    <row r="96" spans="1:13" x14ac:dyDescent="0.25">
      <c r="A96" s="540"/>
      <c r="B96" s="540"/>
      <c r="C96" s="540"/>
      <c r="D96" s="541"/>
      <c r="E96" s="541"/>
      <c r="F96" s="541"/>
      <c r="G96" s="540"/>
      <c r="H96" s="540"/>
      <c r="I96" s="541"/>
      <c r="J96" s="541"/>
      <c r="K96" s="541"/>
      <c r="L96" s="540"/>
      <c r="M96" s="540"/>
    </row>
    <row r="97" spans="1:13" x14ac:dyDescent="0.25">
      <c r="A97" s="540"/>
      <c r="B97" s="540"/>
      <c r="C97" s="540"/>
      <c r="D97" s="541"/>
      <c r="E97" s="541"/>
      <c r="F97" s="541"/>
      <c r="G97" s="540"/>
      <c r="H97" s="540"/>
      <c r="I97" s="541"/>
      <c r="J97" s="541"/>
      <c r="K97" s="541"/>
      <c r="L97" s="540"/>
      <c r="M97" s="540"/>
    </row>
    <row r="98" spans="1:13" x14ac:dyDescent="0.25">
      <c r="A98" s="540"/>
      <c r="B98" s="540"/>
      <c r="C98" s="540"/>
      <c r="D98" s="541"/>
      <c r="E98" s="541"/>
      <c r="F98" s="541"/>
      <c r="G98" s="540"/>
      <c r="H98" s="540"/>
      <c r="I98" s="541"/>
      <c r="J98" s="541"/>
      <c r="K98" s="541"/>
      <c r="L98" s="540"/>
      <c r="M98" s="540"/>
    </row>
    <row r="99" spans="1:13" x14ac:dyDescent="0.25">
      <c r="A99" s="544" t="s">
        <v>81</v>
      </c>
      <c r="B99" s="545"/>
      <c r="C99" s="545">
        <f>SUM(C83:C92)</f>
        <v>140</v>
      </c>
      <c r="D99" s="546"/>
      <c r="E99" s="546"/>
      <c r="F99" s="546">
        <f>SUM(F83:F92)</f>
        <v>13780.8</v>
      </c>
      <c r="G99" s="545"/>
      <c r="H99" s="547">
        <f>SUM(H83:H88)</f>
        <v>140</v>
      </c>
      <c r="I99" s="546"/>
      <c r="J99" s="546"/>
      <c r="K99" s="546">
        <f>SUM(K83:K88)</f>
        <v>14027.46</v>
      </c>
      <c r="L99" s="545"/>
      <c r="M99" s="546">
        <f>SUM(M83:M86)</f>
        <v>10.65</v>
      </c>
    </row>
    <row r="100" spans="1:13" ht="15.75" thickBot="1" x14ac:dyDescent="0.3">
      <c r="A100" s="548" t="s">
        <v>194</v>
      </c>
      <c r="B100" s="549"/>
      <c r="C100" s="550">
        <f>SumByColor($A$19,C83:C98)</f>
        <v>0</v>
      </c>
      <c r="D100" s="550"/>
      <c r="E100" s="550"/>
      <c r="F100" s="551">
        <f>SumByColor($A$19,F83:F98)</f>
        <v>0</v>
      </c>
      <c r="G100" s="550"/>
      <c r="H100" s="550">
        <f>SumByColor($A$19,H83:H98)</f>
        <v>0</v>
      </c>
      <c r="I100" s="550"/>
      <c r="J100" s="550"/>
      <c r="K100" s="551">
        <f>SumByColor($A$19,K83:K98)</f>
        <v>0</v>
      </c>
      <c r="L100" s="550"/>
      <c r="M100" s="551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597" priority="15">
      <formula>F25&gt;0</formula>
    </cfRule>
    <cfRule type="expression" dxfId="596" priority="16">
      <formula>F25&lt;0</formula>
    </cfRule>
  </conditionalFormatting>
  <conditionalFormatting sqref="F32:F70">
    <cfRule type="expression" dxfId="595" priority="11">
      <formula>F32&gt;0</formula>
    </cfRule>
    <cfRule type="expression" dxfId="594" priority="12">
      <formula>F32&lt;0</formula>
    </cfRule>
  </conditionalFormatting>
  <conditionalFormatting sqref="F32:F70">
    <cfRule type="expression" dxfId="593" priority="13">
      <formula>F32&gt;0</formula>
    </cfRule>
    <cfRule type="expression" dxfId="592" priority="14">
      <formula>F32&lt;0</formula>
    </cfRule>
  </conditionalFormatting>
  <conditionalFormatting sqref="H25 H30:H70">
    <cfRule type="expression" dxfId="591" priority="9">
      <formula>H25&gt;0</formula>
    </cfRule>
    <cfRule type="expression" dxfId="590" priority="10">
      <formula>H25&lt;0</formula>
    </cfRule>
  </conditionalFormatting>
  <conditionalFormatting sqref="F26:F29">
    <cfRule type="expression" dxfId="589" priority="7">
      <formula>F26&gt;0</formula>
    </cfRule>
    <cfRule type="expression" dxfId="588" priority="8">
      <formula>F26&lt;0</formula>
    </cfRule>
  </conditionalFormatting>
  <conditionalFormatting sqref="H26:H29">
    <cfRule type="expression" dxfId="587" priority="5">
      <formula>H26&gt;0</formula>
    </cfRule>
    <cfRule type="expression" dxfId="586" priority="6">
      <formula>H26&lt;0</formula>
    </cfRule>
  </conditionalFormatting>
  <conditionalFormatting sqref="Q7">
    <cfRule type="expression" dxfId="585" priority="3">
      <formula>Q7&gt;0</formula>
    </cfRule>
    <cfRule type="expression" dxfId="584" priority="4">
      <formula>Q7&lt;0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7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7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719</v>
      </c>
      <c r="U2" s="84">
        <v>15</v>
      </c>
    </row>
    <row r="3" spans="1:21" x14ac:dyDescent="0.25">
      <c r="A3" s="22" t="s">
        <v>71</v>
      </c>
      <c r="B3" s="487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7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7">
        <f>IF(Q2=0, Q4, (F29-M29-K29)/Q2)</f>
        <v>7.03</v>
      </c>
      <c r="T3" s="1"/>
    </row>
    <row r="4" spans="1:21" x14ac:dyDescent="0.25">
      <c r="B4" s="487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7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7.03</v>
      </c>
      <c r="R4" s="486">
        <v>-0.2392</v>
      </c>
      <c r="T4" s="159"/>
    </row>
    <row r="5" spans="1:21" x14ac:dyDescent="0.25">
      <c r="B5" s="487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7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719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7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7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7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7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7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7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7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7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7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7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7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7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7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7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7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7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7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5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513</v>
      </c>
      <c r="K35" s="224" t="s">
        <v>150</v>
      </c>
    </row>
    <row r="36" spans="2:21" x14ac:dyDescent="0.25">
      <c r="B36" s="188">
        <v>42629</v>
      </c>
      <c r="C36" s="232">
        <v>400</v>
      </c>
      <c r="D36" s="522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1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11" t="s">
        <v>78</v>
      </c>
      <c r="P40" s="811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7.7330000000000005</v>
      </c>
      <c r="Q41" s="2"/>
    </row>
    <row r="42" spans="2:21" ht="20.25" thickBot="1" x14ac:dyDescent="0.35">
      <c r="B42" s="188">
        <v>42648</v>
      </c>
      <c r="C42" s="7">
        <v>800</v>
      </c>
      <c r="D42" s="521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1">
        <v>4</v>
      </c>
      <c r="J42" s="39"/>
      <c r="K42" s="39"/>
      <c r="O42" s="81">
        <v>1.0900000000000001</v>
      </c>
      <c r="P42" s="81">
        <f t="shared" ref="P42:P61" si="7">O42*$Q$4</f>
        <v>7.662700000000001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7.5924000000000005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298</v>
      </c>
      <c r="J44" s="39"/>
      <c r="K44" s="39"/>
      <c r="O44" s="81">
        <v>1.07</v>
      </c>
      <c r="P44" s="81">
        <f t="shared" si="7"/>
        <v>7.5221000000000009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7.4518000000000004</v>
      </c>
      <c r="Q45" s="2"/>
      <c r="T45" s="91" t="s">
        <v>99</v>
      </c>
      <c r="U45" s="86" t="s">
        <v>681</v>
      </c>
    </row>
    <row r="46" spans="2:21" x14ac:dyDescent="0.25">
      <c r="B46" s="188">
        <v>42670</v>
      </c>
      <c r="C46" s="232">
        <v>400</v>
      </c>
      <c r="D46" s="522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2">
        <v>3.9</v>
      </c>
      <c r="J46" s="39"/>
      <c r="K46" s="39"/>
      <c r="O46" s="81">
        <v>1.05</v>
      </c>
      <c r="P46" s="81">
        <f t="shared" si="7"/>
        <v>7.3815000000000008</v>
      </c>
      <c r="Q46" s="2"/>
      <c r="T46" s="91" t="s">
        <v>100</v>
      </c>
      <c r="U46" s="86" t="s">
        <v>682</v>
      </c>
    </row>
    <row r="47" spans="2:21" x14ac:dyDescent="0.25">
      <c r="B47" s="188">
        <v>42674</v>
      </c>
      <c r="C47" s="7">
        <v>800</v>
      </c>
      <c r="D47" s="521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1" t="s">
        <v>305</v>
      </c>
      <c r="J47" s="39"/>
      <c r="K47" s="39"/>
      <c r="O47" s="81">
        <v>1.04</v>
      </c>
      <c r="P47" s="81">
        <f t="shared" si="7"/>
        <v>7.3112000000000004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7.2409000000000008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6">
        <v>1500</v>
      </c>
      <c r="D49" s="567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7.1706000000000003</v>
      </c>
      <c r="Q49" s="2"/>
      <c r="T49" s="91" t="s">
        <v>121</v>
      </c>
      <c r="U49" s="86" t="s">
        <v>435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7.1003000000000007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7.03</v>
      </c>
      <c r="Q51" s="2"/>
      <c r="T51" s="91" t="s">
        <v>104</v>
      </c>
      <c r="U51" s="86" t="s">
        <v>683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6.9596999999999998</v>
      </c>
      <c r="Q52" s="2"/>
      <c r="T52" s="91" t="s">
        <v>105</v>
      </c>
      <c r="U52" s="86" t="s">
        <v>536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6.8894000000000002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6.8190999999999997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6.7488000000000001</v>
      </c>
      <c r="T55" s="91" t="s">
        <v>107</v>
      </c>
      <c r="U55" s="86" t="s">
        <v>684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6.6784999999999997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6.6082000000000001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6.5379000000000005</v>
      </c>
      <c r="T58" s="91" t="s">
        <v>108</v>
      </c>
      <c r="U58" s="86" t="s">
        <v>575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6.4676000000000009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6.3973000000000004</v>
      </c>
    </row>
    <row r="61" spans="1:21" x14ac:dyDescent="0.25">
      <c r="A61" t="s">
        <v>357</v>
      </c>
      <c r="B61" s="188">
        <v>42754</v>
      </c>
      <c r="C61" s="566">
        <v>1500</v>
      </c>
      <c r="D61" s="567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6.327</v>
      </c>
    </row>
    <row r="62" spans="1:21" x14ac:dyDescent="0.25">
      <c r="A62" t="s">
        <v>364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365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408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411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457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461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474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475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6" t="s">
        <v>1</v>
      </c>
      <c r="B103" s="376" t="s">
        <v>2</v>
      </c>
      <c r="C103" s="376" t="s">
        <v>4</v>
      </c>
      <c r="D103" s="378" t="s">
        <v>5</v>
      </c>
      <c r="E103" s="378" t="s">
        <v>94</v>
      </c>
      <c r="F103" s="378" t="s">
        <v>60</v>
      </c>
      <c r="G103" s="376" t="s">
        <v>3</v>
      </c>
      <c r="H103" s="376" t="s">
        <v>6</v>
      </c>
      <c r="I103" s="378" t="s">
        <v>7</v>
      </c>
      <c r="J103" s="378" t="s">
        <v>95</v>
      </c>
      <c r="K103" s="378" t="s">
        <v>61</v>
      </c>
      <c r="L103" s="376" t="s">
        <v>37</v>
      </c>
      <c r="M103" s="376" t="s">
        <v>38</v>
      </c>
    </row>
    <row r="104" spans="1:13" x14ac:dyDescent="0.25">
      <c r="A104" s="379" t="s">
        <v>9</v>
      </c>
      <c r="B104" s="369">
        <v>42356</v>
      </c>
      <c r="C104" s="370">
        <v>250</v>
      </c>
      <c r="D104" s="371">
        <v>4.45</v>
      </c>
      <c r="E104" s="371">
        <v>0</v>
      </c>
      <c r="F104" s="371">
        <f>C104*D104+E104</f>
        <v>1112.5</v>
      </c>
      <c r="G104" s="369">
        <v>42398</v>
      </c>
      <c r="H104" s="374">
        <v>250</v>
      </c>
      <c r="I104" s="371">
        <v>4.5199999999999996</v>
      </c>
      <c r="J104" s="371">
        <v>0.02</v>
      </c>
      <c r="K104" s="371">
        <f>H104*I104-J104</f>
        <v>1129.98</v>
      </c>
      <c r="L104" s="370"/>
      <c r="M104" s="370"/>
    </row>
    <row r="105" spans="1:13" x14ac:dyDescent="0.25">
      <c r="A105" s="380"/>
      <c r="B105" s="369">
        <v>42382</v>
      </c>
      <c r="C105" s="370">
        <v>250</v>
      </c>
      <c r="D105" s="371">
        <v>4.25</v>
      </c>
      <c r="E105" s="371">
        <v>0</v>
      </c>
      <c r="F105" s="371">
        <f>C105*D105+E105</f>
        <v>1062.5</v>
      </c>
      <c r="G105" s="369">
        <v>42418</v>
      </c>
      <c r="H105" s="374">
        <v>250</v>
      </c>
      <c r="I105" s="371">
        <v>4.45</v>
      </c>
      <c r="J105" s="371">
        <v>0.02</v>
      </c>
      <c r="K105" s="371">
        <f>H105*I105-J105</f>
        <v>1112.48</v>
      </c>
      <c r="L105" s="370"/>
      <c r="M105" s="370"/>
    </row>
    <row r="106" spans="1:13" x14ac:dyDescent="0.25">
      <c r="A106" s="370"/>
      <c r="B106" s="369">
        <v>42402</v>
      </c>
      <c r="C106" s="370">
        <v>250</v>
      </c>
      <c r="D106" s="371">
        <v>4.3600000000000003</v>
      </c>
      <c r="E106" s="371">
        <v>0</v>
      </c>
      <c r="F106" s="371">
        <f>C106*D106+E106</f>
        <v>1090</v>
      </c>
      <c r="G106" s="369">
        <v>42436</v>
      </c>
      <c r="H106" s="374">
        <v>250</v>
      </c>
      <c r="I106" s="371">
        <v>5.83</v>
      </c>
      <c r="J106" s="371">
        <v>0.03</v>
      </c>
      <c r="K106" s="371">
        <f>H106*I106-J106</f>
        <v>1457.47</v>
      </c>
      <c r="L106" s="370"/>
      <c r="M106" s="370"/>
    </row>
    <row r="107" spans="1:13" x14ac:dyDescent="0.25">
      <c r="A107" s="370"/>
      <c r="B107" s="369"/>
      <c r="C107" s="370"/>
      <c r="D107" s="371"/>
      <c r="E107" s="371"/>
      <c r="F107" s="371"/>
      <c r="G107" s="370"/>
      <c r="H107" s="374"/>
      <c r="I107" s="371"/>
      <c r="J107" s="371"/>
      <c r="K107" s="371"/>
      <c r="L107" s="370"/>
      <c r="M107" s="370"/>
    </row>
    <row r="108" spans="1:13" x14ac:dyDescent="0.25">
      <c r="A108" s="370"/>
      <c r="B108" s="370"/>
      <c r="C108" s="370"/>
      <c r="D108" s="371"/>
      <c r="E108" s="371"/>
      <c r="F108" s="371"/>
      <c r="G108" s="370"/>
      <c r="H108" s="374"/>
      <c r="I108" s="371"/>
      <c r="J108" s="371"/>
      <c r="K108" s="371"/>
      <c r="L108" s="370"/>
      <c r="M108" s="370"/>
    </row>
    <row r="109" spans="1:13" x14ac:dyDescent="0.25">
      <c r="A109" s="370"/>
      <c r="B109" s="370"/>
      <c r="C109" s="370"/>
      <c r="D109" s="371"/>
      <c r="E109" s="371"/>
      <c r="F109" s="371"/>
      <c r="G109" s="370"/>
      <c r="H109" s="374"/>
      <c r="I109" s="371"/>
      <c r="J109" s="371"/>
      <c r="K109" s="371"/>
      <c r="L109" s="370"/>
      <c r="M109" s="370"/>
    </row>
    <row r="110" spans="1:13" x14ac:dyDescent="0.25">
      <c r="A110" s="370"/>
      <c r="B110" s="370"/>
      <c r="C110" s="370"/>
      <c r="D110" s="371"/>
      <c r="E110" s="371"/>
      <c r="F110" s="371"/>
      <c r="G110" s="370"/>
      <c r="H110" s="374"/>
      <c r="I110" s="371"/>
      <c r="J110" s="371"/>
      <c r="K110" s="371"/>
      <c r="L110" s="370"/>
      <c r="M110" s="370"/>
    </row>
    <row r="111" spans="1:13" x14ac:dyDescent="0.25">
      <c r="A111" s="370"/>
      <c r="B111" s="370"/>
      <c r="C111" s="370"/>
      <c r="D111" s="371"/>
      <c r="E111" s="371"/>
      <c r="F111" s="371"/>
      <c r="G111" s="370"/>
      <c r="H111" s="374"/>
      <c r="I111" s="371"/>
      <c r="J111" s="371"/>
      <c r="K111" s="371"/>
      <c r="L111" s="370"/>
      <c r="M111" s="370"/>
    </row>
    <row r="112" spans="1:13" x14ac:dyDescent="0.25">
      <c r="A112" s="370"/>
      <c r="B112" s="370"/>
      <c r="C112" s="370"/>
      <c r="D112" s="371"/>
      <c r="E112" s="371"/>
      <c r="F112" s="371"/>
      <c r="G112" s="370"/>
      <c r="H112" s="370"/>
      <c r="I112" s="371"/>
      <c r="J112" s="371"/>
      <c r="K112" s="371"/>
      <c r="L112" s="370"/>
      <c r="M112" s="370"/>
    </row>
    <row r="113" spans="1:13" x14ac:dyDescent="0.25">
      <c r="A113" s="370"/>
      <c r="B113" s="370"/>
      <c r="C113" s="370"/>
      <c r="D113" s="371"/>
      <c r="E113" s="371"/>
      <c r="F113" s="371"/>
      <c r="G113" s="370"/>
      <c r="H113" s="370"/>
      <c r="I113" s="371"/>
      <c r="J113" s="371"/>
      <c r="K113" s="371"/>
      <c r="L113" s="370"/>
      <c r="M113" s="370"/>
    </row>
    <row r="114" spans="1:13" x14ac:dyDescent="0.25">
      <c r="A114" s="370"/>
      <c r="B114" s="370"/>
      <c r="C114" s="370"/>
      <c r="D114" s="371"/>
      <c r="E114" s="371"/>
      <c r="F114" s="371"/>
      <c r="G114" s="370"/>
      <c r="H114" s="370"/>
      <c r="I114" s="371"/>
      <c r="J114" s="371"/>
      <c r="K114" s="371"/>
      <c r="L114" s="370"/>
      <c r="M114" s="370"/>
    </row>
    <row r="115" spans="1:13" x14ac:dyDescent="0.25">
      <c r="A115" s="370"/>
      <c r="B115" s="370"/>
      <c r="C115" s="370"/>
      <c r="D115" s="371"/>
      <c r="E115" s="371"/>
      <c r="F115" s="371"/>
      <c r="G115" s="370"/>
      <c r="H115" s="370"/>
      <c r="I115" s="371"/>
      <c r="J115" s="371"/>
      <c r="K115" s="371"/>
      <c r="L115" s="370"/>
      <c r="M115" s="370"/>
    </row>
    <row r="116" spans="1:13" x14ac:dyDescent="0.25">
      <c r="A116" s="370"/>
      <c r="B116" s="370"/>
      <c r="C116" s="370"/>
      <c r="D116" s="371"/>
      <c r="E116" s="371"/>
      <c r="F116" s="371"/>
      <c r="G116" s="370"/>
      <c r="H116" s="370"/>
      <c r="I116" s="371"/>
      <c r="J116" s="371"/>
      <c r="K116" s="371"/>
      <c r="L116" s="370"/>
      <c r="M116" s="370"/>
    </row>
    <row r="117" spans="1:13" x14ac:dyDescent="0.25">
      <c r="A117" s="370"/>
      <c r="B117" s="370"/>
      <c r="C117" s="370"/>
      <c r="D117" s="371"/>
      <c r="E117" s="371"/>
      <c r="F117" s="371"/>
      <c r="G117" s="370"/>
      <c r="H117" s="370"/>
      <c r="I117" s="371"/>
      <c r="J117" s="371"/>
      <c r="K117" s="371"/>
      <c r="L117" s="370"/>
      <c r="M117" s="370"/>
    </row>
    <row r="118" spans="1:13" x14ac:dyDescent="0.25">
      <c r="A118" s="370"/>
      <c r="B118" s="370"/>
      <c r="C118" s="370"/>
      <c r="D118" s="371"/>
      <c r="E118" s="371"/>
      <c r="F118" s="371"/>
      <c r="G118" s="370"/>
      <c r="H118" s="370"/>
      <c r="I118" s="371"/>
      <c r="J118" s="371"/>
      <c r="K118" s="371"/>
      <c r="L118" s="370"/>
      <c r="M118" s="370"/>
    </row>
    <row r="119" spans="1:13" x14ac:dyDescent="0.25">
      <c r="A119" s="370"/>
      <c r="B119" s="370"/>
      <c r="C119" s="370"/>
      <c r="D119" s="371"/>
      <c r="E119" s="371"/>
      <c r="F119" s="371"/>
      <c r="G119" s="370"/>
      <c r="H119" s="374"/>
      <c r="I119" s="371"/>
      <c r="J119" s="371"/>
      <c r="K119" s="371"/>
      <c r="L119" s="370"/>
      <c r="M119" s="370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7" t="s">
        <v>113</v>
      </c>
      <c r="C123" s="497" t="s">
        <v>146</v>
      </c>
      <c r="D123" s="498" t="s">
        <v>145</v>
      </c>
      <c r="E123" s="499" t="s">
        <v>147</v>
      </c>
      <c r="F123" s="500" t="s">
        <v>65</v>
      </c>
      <c r="G123" s="501" t="s">
        <v>151</v>
      </c>
      <c r="H123" s="500" t="s">
        <v>88</v>
      </c>
      <c r="I123" s="501" t="s">
        <v>154</v>
      </c>
    </row>
    <row r="124" spans="1:13" x14ac:dyDescent="0.25">
      <c r="B124" s="369">
        <v>42353</v>
      </c>
      <c r="C124" s="370">
        <v>250</v>
      </c>
      <c r="D124" s="502">
        <v>4.45</v>
      </c>
      <c r="E124" s="371">
        <v>4.45</v>
      </c>
      <c r="F124" s="371">
        <f>C124*(E124-D124)</f>
        <v>0</v>
      </c>
      <c r="G124" s="371">
        <f>D124*C124</f>
        <v>1112.5</v>
      </c>
      <c r="H124" s="373">
        <f>(E124-D124)/D124</f>
        <v>0</v>
      </c>
      <c r="I124" s="371"/>
    </row>
    <row r="125" spans="1:13" x14ac:dyDescent="0.25">
      <c r="B125" s="369">
        <v>42356</v>
      </c>
      <c r="C125" s="370">
        <v>250</v>
      </c>
      <c r="D125" s="502">
        <v>4.45</v>
      </c>
      <c r="E125" s="371">
        <v>4.79</v>
      </c>
      <c r="F125" s="371">
        <f>C125*(E125-D125)</f>
        <v>84.999999999999972</v>
      </c>
      <c r="G125" s="371">
        <f>D125*C125</f>
        <v>1112.5</v>
      </c>
      <c r="H125" s="373">
        <f>(E125-D125)/D125</f>
        <v>7.6404494382022431E-2</v>
      </c>
      <c r="I125" s="371"/>
    </row>
    <row r="126" spans="1:13" x14ac:dyDescent="0.25">
      <c r="B126" s="369">
        <v>42382</v>
      </c>
      <c r="C126" s="370">
        <v>500</v>
      </c>
      <c r="D126" s="502">
        <v>4.3499999999999996</v>
      </c>
      <c r="E126" s="371">
        <v>4.17</v>
      </c>
      <c r="F126" s="371">
        <f t="shared" ref="F126:F134" si="50">C126*(E126-D126)</f>
        <v>-89.999999999999858</v>
      </c>
      <c r="G126" s="371">
        <f t="shared" ref="G126:G134" si="51">D126*C126</f>
        <v>2175</v>
      </c>
      <c r="H126" s="373">
        <f t="shared" ref="H126:H134" si="52">(E126-D126)/D126</f>
        <v>-4.1379310344827523E-2</v>
      </c>
      <c r="I126" s="371"/>
    </row>
    <row r="127" spans="1:13" x14ac:dyDescent="0.25">
      <c r="B127" s="369">
        <v>42398</v>
      </c>
      <c r="C127" s="370">
        <v>250</v>
      </c>
      <c r="D127" s="502">
        <v>4.18</v>
      </c>
      <c r="E127" s="371">
        <v>4.5199999999999996</v>
      </c>
      <c r="F127" s="371">
        <f t="shared" si="50"/>
        <v>84.999999999999972</v>
      </c>
      <c r="G127" s="371">
        <f t="shared" si="51"/>
        <v>1045</v>
      </c>
      <c r="H127" s="373">
        <f t="shared" si="52"/>
        <v>8.1339712918660254E-2</v>
      </c>
      <c r="I127" s="371"/>
    </row>
    <row r="128" spans="1:13" x14ac:dyDescent="0.25">
      <c r="B128" s="369">
        <v>42402</v>
      </c>
      <c r="C128" s="370">
        <v>500</v>
      </c>
      <c r="D128" s="502">
        <v>4.2699999999999996</v>
      </c>
      <c r="E128" s="371">
        <v>4.3499999999999996</v>
      </c>
      <c r="F128" s="371">
        <f t="shared" si="50"/>
        <v>40.000000000000036</v>
      </c>
      <c r="G128" s="371">
        <f t="shared" si="51"/>
        <v>2135</v>
      </c>
      <c r="H128" s="373">
        <f t="shared" si="52"/>
        <v>1.8735362997658097E-2</v>
      </c>
      <c r="I128" s="371"/>
    </row>
    <row r="129" spans="2:9" x14ac:dyDescent="0.25">
      <c r="B129" s="369">
        <v>42403</v>
      </c>
      <c r="C129" s="370">
        <v>500</v>
      </c>
      <c r="D129" s="502">
        <v>4.2699999999999996</v>
      </c>
      <c r="E129" s="371">
        <v>4.5999999999999996</v>
      </c>
      <c r="F129" s="371">
        <f t="shared" si="50"/>
        <v>165.00000000000003</v>
      </c>
      <c r="G129" s="371">
        <f t="shared" si="51"/>
        <v>2135</v>
      </c>
      <c r="H129" s="373">
        <f t="shared" si="52"/>
        <v>7.7283372365339609E-2</v>
      </c>
      <c r="I129" s="371"/>
    </row>
    <row r="130" spans="2:9" x14ac:dyDescent="0.25">
      <c r="B130" s="369">
        <v>42418</v>
      </c>
      <c r="C130" s="370">
        <v>250</v>
      </c>
      <c r="D130" s="502">
        <v>4.09</v>
      </c>
      <c r="E130" s="371">
        <v>4.25</v>
      </c>
      <c r="F130" s="371">
        <f t="shared" si="50"/>
        <v>40.000000000000036</v>
      </c>
      <c r="G130" s="371">
        <f t="shared" si="51"/>
        <v>1022.5</v>
      </c>
      <c r="H130" s="373">
        <f t="shared" si="52"/>
        <v>3.911980440097803E-2</v>
      </c>
      <c r="I130" s="371"/>
    </row>
    <row r="131" spans="2:9" x14ac:dyDescent="0.25">
      <c r="B131" s="369">
        <v>42421</v>
      </c>
      <c r="C131" s="370">
        <v>250</v>
      </c>
      <c r="D131" s="502">
        <v>4.09</v>
      </c>
      <c r="E131" s="371">
        <v>4.4400000000000004</v>
      </c>
      <c r="F131" s="371">
        <f t="shared" si="50"/>
        <v>87.500000000000128</v>
      </c>
      <c r="G131" s="371">
        <f t="shared" si="51"/>
        <v>1022.5</v>
      </c>
      <c r="H131" s="373">
        <f t="shared" si="52"/>
        <v>8.5574572127139495E-2</v>
      </c>
      <c r="I131" s="371"/>
    </row>
    <row r="132" spans="2:9" x14ac:dyDescent="0.25">
      <c r="B132" s="369">
        <v>42424</v>
      </c>
      <c r="C132" s="370">
        <v>250</v>
      </c>
      <c r="D132" s="502">
        <v>4.09</v>
      </c>
      <c r="E132" s="371">
        <v>5.3</v>
      </c>
      <c r="F132" s="371">
        <f t="shared" si="50"/>
        <v>302.5</v>
      </c>
      <c r="G132" s="371">
        <f t="shared" si="51"/>
        <v>1022.5</v>
      </c>
      <c r="H132" s="373">
        <f t="shared" si="52"/>
        <v>0.29584352078239606</v>
      </c>
      <c r="I132" s="371"/>
    </row>
    <row r="133" spans="2:9" x14ac:dyDescent="0.25">
      <c r="B133" s="369">
        <v>42430</v>
      </c>
      <c r="C133" s="370">
        <v>250</v>
      </c>
      <c r="D133" s="502">
        <v>4.09</v>
      </c>
      <c r="E133" s="371">
        <v>5.47</v>
      </c>
      <c r="F133" s="453">
        <f t="shared" si="50"/>
        <v>345</v>
      </c>
      <c r="G133" s="371">
        <f t="shared" si="51"/>
        <v>1022.5</v>
      </c>
      <c r="H133" s="373">
        <f t="shared" si="52"/>
        <v>0.33740831295843521</v>
      </c>
      <c r="I133" s="371"/>
    </row>
    <row r="134" spans="2:9" x14ac:dyDescent="0.25">
      <c r="B134" s="369">
        <v>42431</v>
      </c>
      <c r="C134" s="370">
        <v>250</v>
      </c>
      <c r="D134" s="502">
        <v>4.09</v>
      </c>
      <c r="E134" s="371">
        <v>5.63</v>
      </c>
      <c r="F134" s="453">
        <f t="shared" si="50"/>
        <v>385</v>
      </c>
      <c r="G134" s="371">
        <f t="shared" si="51"/>
        <v>1022.5</v>
      </c>
      <c r="H134" s="373">
        <f t="shared" si="52"/>
        <v>0.37652811735941322</v>
      </c>
      <c r="I134" s="371"/>
    </row>
    <row r="135" spans="2:9" x14ac:dyDescent="0.25">
      <c r="B135" s="369">
        <v>42436</v>
      </c>
      <c r="C135" s="370">
        <v>0</v>
      </c>
      <c r="D135" s="502"/>
      <c r="E135" s="371">
        <v>5.79</v>
      </c>
      <c r="F135" s="453">
        <v>434.93</v>
      </c>
      <c r="G135" s="371"/>
      <c r="H135" s="373"/>
      <c r="I135" s="371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581" priority="25">
      <formula>F34&gt;0</formula>
    </cfRule>
    <cfRule type="expression" dxfId="580" priority="26">
      <formula>F34&lt;0</formula>
    </cfRule>
  </conditionalFormatting>
  <conditionalFormatting sqref="H124:H131">
    <cfRule type="expression" dxfId="579" priority="23">
      <formula>H124&gt;0</formula>
    </cfRule>
    <cfRule type="expression" dxfId="578" priority="24">
      <formula>H124&lt;0</formula>
    </cfRule>
  </conditionalFormatting>
  <conditionalFormatting sqref="H132">
    <cfRule type="expression" dxfId="577" priority="21">
      <formula>H132&gt;0</formula>
    </cfRule>
    <cfRule type="expression" dxfId="576" priority="22">
      <formula>H132&lt;0</formula>
    </cfRule>
  </conditionalFormatting>
  <conditionalFormatting sqref="Q8">
    <cfRule type="expression" dxfId="575" priority="11">
      <formula>Q8&gt;0</formula>
    </cfRule>
    <cfRule type="expression" dxfId="574" priority="12">
      <formula>Q8&lt;0</formula>
    </cfRule>
  </conditionalFormatting>
  <conditionalFormatting sqref="Q7">
    <cfRule type="expression" dxfId="573" priority="13">
      <formula>Q7&gt;0</formula>
    </cfRule>
    <cfRule type="expression" dxfId="572" priority="14">
      <formula>Q7&lt;0</formula>
    </cfRule>
  </conditionalFormatting>
  <conditionalFormatting sqref="F36:F39">
    <cfRule type="expression" dxfId="571" priority="9">
      <formula>F36&gt;0</formula>
    </cfRule>
    <cfRule type="expression" dxfId="570" priority="10">
      <formula>F36&lt;0</formula>
    </cfRule>
  </conditionalFormatting>
  <conditionalFormatting sqref="H36:H39">
    <cfRule type="expression" dxfId="569" priority="7">
      <formula>H36&gt;0</formula>
    </cfRule>
    <cfRule type="expression" dxfId="568" priority="8">
      <formula>H36&lt;0</formula>
    </cfRule>
  </conditionalFormatting>
  <conditionalFormatting sqref="K65:K99">
    <cfRule type="expression" dxfId="567" priority="5">
      <formula>K65&gt;0</formula>
    </cfRule>
    <cfRule type="expression" dxfId="566" priority="6">
      <formula>K65&lt;0</formula>
    </cfRule>
  </conditionalFormatting>
  <conditionalFormatting sqref="K72">
    <cfRule type="expression" dxfId="565" priority="3">
      <formula>K72&gt;0</formula>
    </cfRule>
    <cfRule type="expression" dxfId="564" priority="4">
      <formula>K72&lt;0</formula>
    </cfRule>
  </conditionalFormatting>
  <conditionalFormatting sqref="M69">
    <cfRule type="expression" dxfId="563" priority="1">
      <formula>M69&gt;0</formula>
    </cfRule>
    <cfRule type="expression" dxfId="562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02">
        <v>43133</v>
      </c>
    </row>
    <row r="2" spans="1:40" x14ac:dyDescent="0.25">
      <c r="A2" s="6" t="s">
        <v>55</v>
      </c>
      <c r="B2" s="787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4"/>
      <c r="O2" s="11" t="s">
        <v>57</v>
      </c>
      <c r="Q2">
        <f>C24-H24</f>
        <v>50</v>
      </c>
      <c r="T2" s="1">
        <v>43096</v>
      </c>
      <c r="U2" t="s">
        <v>857</v>
      </c>
      <c r="W2" t="s">
        <v>855</v>
      </c>
      <c r="X2" s="755" t="s">
        <v>839</v>
      </c>
      <c r="Y2" s="781">
        <v>11.5</v>
      </c>
      <c r="Z2" s="781">
        <v>11.5</v>
      </c>
      <c r="AA2" s="2">
        <v>10.6</v>
      </c>
      <c r="AB2" s="2">
        <v>9.5</v>
      </c>
      <c r="AC2" s="781">
        <v>9.83</v>
      </c>
      <c r="AD2">
        <v>11</v>
      </c>
      <c r="AE2" s="754">
        <v>9.98</v>
      </c>
      <c r="AF2" s="754">
        <v>10.199999999999999</v>
      </c>
      <c r="AG2" s="754">
        <v>10.4</v>
      </c>
      <c r="AH2" s="11"/>
      <c r="AI2" s="11"/>
      <c r="AJ2" s="11"/>
      <c r="AK2" s="756"/>
      <c r="AL2" s="756"/>
      <c r="AM2" s="756"/>
      <c r="AN2" s="756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5"/>
      <c r="O3" s="11" t="s">
        <v>58</v>
      </c>
      <c r="Q3" s="225">
        <f>(F24-K24-M24)/Q2</f>
        <v>71.650000000000006</v>
      </c>
      <c r="U3" t="s">
        <v>858</v>
      </c>
      <c r="X3" s="755" t="s">
        <v>840</v>
      </c>
      <c r="Y3" s="781">
        <v>25</v>
      </c>
      <c r="Z3" s="781">
        <v>24.6</v>
      </c>
      <c r="AA3" s="2">
        <v>23.3</v>
      </c>
      <c r="AB3" s="2">
        <v>20.6</v>
      </c>
      <c r="AC3" s="781">
        <v>23.3</v>
      </c>
      <c r="AD3">
        <v>26.3</v>
      </c>
      <c r="AE3" s="754">
        <v>24.8</v>
      </c>
      <c r="AF3" s="754">
        <v>25.5</v>
      </c>
      <c r="AG3" s="754">
        <v>26.5</v>
      </c>
      <c r="AH3" s="756"/>
      <c r="AI3" s="756"/>
      <c r="AJ3" s="756"/>
      <c r="AK3" s="756"/>
      <c r="AL3" s="756"/>
      <c r="AM3" s="754"/>
      <c r="AN3" s="754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3">
        <v>78.73</v>
      </c>
      <c r="R4" s="486">
        <v>-2.0299999999999999E-2</v>
      </c>
      <c r="U4" t="s">
        <v>859</v>
      </c>
      <c r="X4" s="755" t="s">
        <v>841</v>
      </c>
      <c r="Y4" s="781">
        <v>28.5</v>
      </c>
      <c r="Z4" s="781">
        <v>28.8</v>
      </c>
      <c r="AA4" s="2">
        <v>26.9</v>
      </c>
      <c r="AB4" s="2">
        <v>23.9</v>
      </c>
      <c r="AC4" s="781">
        <v>26.6</v>
      </c>
      <c r="AD4">
        <v>30</v>
      </c>
      <c r="AE4" s="754">
        <v>28.5</v>
      </c>
      <c r="AF4" s="754">
        <v>29.3</v>
      </c>
      <c r="AG4" s="754">
        <v>29.9</v>
      </c>
      <c r="AH4" s="786"/>
      <c r="AI4" s="754"/>
      <c r="AK4" s="754"/>
      <c r="AL4" s="754"/>
      <c r="AM4" s="754"/>
      <c r="AN4" s="754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3936.5</v>
      </c>
      <c r="T5" s="1"/>
      <c r="X5" s="755" t="s">
        <v>842</v>
      </c>
      <c r="Y5" s="781">
        <v>35.200000000000003</v>
      </c>
      <c r="Z5" s="781">
        <v>34.5</v>
      </c>
      <c r="AA5" s="2">
        <v>33.1</v>
      </c>
      <c r="AB5" s="2">
        <v>28.5</v>
      </c>
      <c r="AC5" s="781">
        <v>31.6</v>
      </c>
      <c r="AD5">
        <v>33.799999999999997</v>
      </c>
      <c r="AE5" s="792" t="s">
        <v>866</v>
      </c>
      <c r="AF5" s="754" t="s">
        <v>866</v>
      </c>
      <c r="AG5" s="754" t="s">
        <v>866</v>
      </c>
      <c r="AH5" s="786"/>
      <c r="AI5" s="754"/>
      <c r="AK5" s="754"/>
      <c r="AL5" s="754"/>
      <c r="AM5" s="754"/>
      <c r="AN5" s="754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869</v>
      </c>
      <c r="X6" s="755" t="s">
        <v>843</v>
      </c>
      <c r="Y6" s="781">
        <v>56</v>
      </c>
      <c r="Z6" s="781">
        <v>56.1</v>
      </c>
      <c r="AA6" s="2">
        <v>53.9</v>
      </c>
      <c r="AB6" s="2">
        <v>47.4</v>
      </c>
      <c r="AC6" s="781">
        <v>52.9</v>
      </c>
      <c r="AD6">
        <v>59.7</v>
      </c>
      <c r="AE6" s="754">
        <v>55.4</v>
      </c>
      <c r="AF6" s="754">
        <v>57.8</v>
      </c>
      <c r="AG6" s="754">
        <v>59.8</v>
      </c>
      <c r="AH6" s="786"/>
      <c r="AI6" s="754"/>
      <c r="AK6" s="754"/>
      <c r="AL6" s="754"/>
      <c r="AM6" s="754"/>
      <c r="AN6" s="754"/>
    </row>
    <row r="7" spans="1:40" x14ac:dyDescent="0.25">
      <c r="A7" s="621"/>
      <c r="B7" s="787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1164.1299999999896</v>
      </c>
      <c r="R7">
        <v>50</v>
      </c>
      <c r="X7" s="755" t="s">
        <v>844</v>
      </c>
      <c r="Y7" s="781">
        <v>156.13</v>
      </c>
      <c r="Z7" s="781">
        <v>155.49</v>
      </c>
      <c r="AA7" s="2">
        <v>147.97</v>
      </c>
      <c r="AB7" s="2">
        <v>129.78</v>
      </c>
      <c r="AC7" s="781">
        <v>144.18</v>
      </c>
      <c r="AD7">
        <v>160.76</v>
      </c>
      <c r="AE7" s="754">
        <v>118.63</v>
      </c>
      <c r="AF7" s="754">
        <v>122.86</v>
      </c>
      <c r="AG7" s="754">
        <v>126.61</v>
      </c>
      <c r="AH7" s="786"/>
      <c r="AI7" s="754"/>
      <c r="AN7" s="754"/>
    </row>
    <row r="8" spans="1:40" x14ac:dyDescent="0.25">
      <c r="A8" s="621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353.99999999999955</v>
      </c>
      <c r="T8" s="1">
        <v>43109</v>
      </c>
      <c r="U8" t="s">
        <v>906</v>
      </c>
      <c r="X8" s="755" t="s">
        <v>856</v>
      </c>
      <c r="Z8" s="752">
        <f>(Z7-Y7)/Y7</f>
        <v>-4.0991481457758683E-3</v>
      </c>
      <c r="AA8" s="752">
        <f>(AA7-Z7)/Z7</f>
        <v>-4.8363238793491609E-2</v>
      </c>
      <c r="AB8" s="752">
        <f>(AB7-AA7)/AA7</f>
        <v>-0.12293032371426639</v>
      </c>
      <c r="AC8" s="752">
        <f>(AC7-AB7)/AB7</f>
        <v>0.1109570041608877</v>
      </c>
      <c r="AD8" s="752">
        <f>(AD7-AC7)/AC7</f>
        <v>0.11499514495769166</v>
      </c>
      <c r="AE8" s="752">
        <f>(AE7-AD7+AD5)/(AD7-AD5)</f>
        <v>-6.5611216131064895E-2</v>
      </c>
      <c r="AF8" s="752">
        <f>(AF7-AE7)/AE7</f>
        <v>3.565708505437077E-2</v>
      </c>
      <c r="AG8" s="752">
        <f>(AG7-AF7)/AF7</f>
        <v>3.052254598730262E-2</v>
      </c>
      <c r="AH8" s="786"/>
      <c r="AI8" s="754"/>
      <c r="AN8" s="754"/>
    </row>
    <row r="9" spans="1:40" x14ac:dyDescent="0.25">
      <c r="A9" s="621"/>
      <c r="B9" s="621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9.8813677599441596E-2</v>
      </c>
      <c r="U9" t="s">
        <v>926</v>
      </c>
      <c r="X9" s="755" t="s">
        <v>867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6"/>
      <c r="AI9" s="754"/>
      <c r="AJ9" s="756"/>
      <c r="AK9" s="756"/>
      <c r="AL9" s="756"/>
      <c r="AM9" s="756"/>
    </row>
    <row r="10" spans="1:40" x14ac:dyDescent="0.25">
      <c r="A10" s="621"/>
      <c r="B10" s="621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5" t="s">
        <v>868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4"/>
      <c r="AK10" s="754"/>
      <c r="AL10" s="754"/>
      <c r="AM10" s="754"/>
    </row>
    <row r="11" spans="1:40" ht="18" x14ac:dyDescent="0.25">
      <c r="A11" s="621"/>
      <c r="B11" s="621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2.6419408103645368E-2</v>
      </c>
      <c r="R11">
        <f>0.52</f>
        <v>0.52</v>
      </c>
      <c r="T11" s="1">
        <v>43112</v>
      </c>
      <c r="U11" t="s">
        <v>923</v>
      </c>
      <c r="X11" s="755" t="s">
        <v>853</v>
      </c>
      <c r="Y11" s="752">
        <f t="shared" ref="Y11:AD11" si="4">SUM(Y2:Y5)/Y7</f>
        <v>0.64177288157304813</v>
      </c>
      <c r="Z11" s="752">
        <f t="shared" si="4"/>
        <v>0.63926940639269403</v>
      </c>
      <c r="AA11" s="752">
        <f t="shared" si="4"/>
        <v>0.63458809218084755</v>
      </c>
      <c r="AB11" s="752">
        <f t="shared" si="4"/>
        <v>0.63569116967175221</v>
      </c>
      <c r="AC11" s="752">
        <f t="shared" si="4"/>
        <v>0.63344430572894994</v>
      </c>
      <c r="AD11" s="752">
        <f t="shared" si="4"/>
        <v>0.62888778303060466</v>
      </c>
      <c r="AE11" s="752">
        <f>SUM(AE2:AE5)/(AE7-AD5)</f>
        <v>0.74596251326181773</v>
      </c>
      <c r="AF11" s="752">
        <f t="shared" ref="AF11" si="5">SUM(AF2:AF5)/AF7</f>
        <v>0.52905746377991214</v>
      </c>
      <c r="AG11" s="752">
        <f>SUM(AG2:AG5)/AG7</f>
        <v>0.52760445462443728</v>
      </c>
      <c r="AH11" s="11"/>
      <c r="AI11" s="780"/>
      <c r="AJ11" s="754"/>
      <c r="AK11" s="754"/>
      <c r="AL11" s="754"/>
      <c r="AM11" s="754"/>
    </row>
    <row r="12" spans="1:40" x14ac:dyDescent="0.25">
      <c r="A12" s="621"/>
      <c r="B12" s="621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6"/>
      <c r="Z12" s="756"/>
      <c r="AB12" s="755"/>
      <c r="AC12" s="621"/>
      <c r="AD12" s="621"/>
      <c r="AE12" s="754"/>
      <c r="AJ12" s="754"/>
      <c r="AK12" s="754"/>
      <c r="AL12" s="754"/>
      <c r="AM12" s="754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927</v>
      </c>
      <c r="W13" t="s">
        <v>854</v>
      </c>
      <c r="X13" s="755" t="s">
        <v>845</v>
      </c>
      <c r="Y13" s="757">
        <v>105.2</v>
      </c>
      <c r="Z13" s="757">
        <v>99.7</v>
      </c>
      <c r="AA13" s="81">
        <v>95.1</v>
      </c>
      <c r="AB13" s="2">
        <v>78.8</v>
      </c>
      <c r="AC13" s="781">
        <v>82.2</v>
      </c>
      <c r="AD13" s="754">
        <v>89.5</v>
      </c>
      <c r="AE13" s="754">
        <v>80.099999999999994</v>
      </c>
      <c r="AF13" s="754">
        <v>83.9</v>
      </c>
      <c r="AG13" s="754">
        <v>84.4</v>
      </c>
      <c r="AJ13" s="754"/>
      <c r="AK13" s="754"/>
      <c r="AL13" s="754"/>
      <c r="AM13" s="754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925</v>
      </c>
      <c r="X14" s="755" t="s">
        <v>846</v>
      </c>
      <c r="Y14" s="757">
        <v>1.77</v>
      </c>
      <c r="Z14" s="757">
        <v>2.23</v>
      </c>
      <c r="AA14" s="81">
        <v>1.39</v>
      </c>
      <c r="AB14" s="2">
        <v>1.42</v>
      </c>
      <c r="AC14" s="781">
        <v>1.56</v>
      </c>
      <c r="AD14" s="754">
        <v>1.73</v>
      </c>
      <c r="AE14" s="754">
        <v>1.36</v>
      </c>
      <c r="AF14" s="754">
        <v>0.93</v>
      </c>
      <c r="AG14" s="754">
        <v>1.08</v>
      </c>
      <c r="AH14" s="756"/>
      <c r="AJ14" s="754"/>
      <c r="AK14" s="754"/>
      <c r="AL14" s="754"/>
      <c r="AM14" s="754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924</v>
      </c>
      <c r="X15" s="755" t="s">
        <v>847</v>
      </c>
      <c r="Y15" s="757">
        <v>50.7</v>
      </c>
      <c r="Z15" s="757">
        <v>50.6</v>
      </c>
      <c r="AA15" s="81">
        <v>47</v>
      </c>
      <c r="AB15" s="2">
        <v>39.799999999999997</v>
      </c>
      <c r="AC15" s="781">
        <v>42.3</v>
      </c>
      <c r="AD15" s="754">
        <v>47.2</v>
      </c>
      <c r="AE15" s="754">
        <v>41.6</v>
      </c>
      <c r="AF15" s="754">
        <v>45.9</v>
      </c>
      <c r="AG15" s="754">
        <v>46.6</v>
      </c>
      <c r="AH15" s="754"/>
      <c r="AI15" s="756"/>
      <c r="AJ15" s="754"/>
      <c r="AK15" s="754"/>
      <c r="AL15" s="754"/>
      <c r="AM15" s="754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5" t="s">
        <v>848</v>
      </c>
      <c r="Y16" s="757">
        <v>1.1599999999999999</v>
      </c>
      <c r="Z16" s="757">
        <v>1.06</v>
      </c>
      <c r="AA16" s="81">
        <v>0.98</v>
      </c>
      <c r="AB16" s="2">
        <v>0.88</v>
      </c>
      <c r="AC16" s="781">
        <v>0.75</v>
      </c>
      <c r="AD16" s="754">
        <v>0.83</v>
      </c>
      <c r="AE16" s="754">
        <v>0.54</v>
      </c>
      <c r="AF16" s="754">
        <v>0.61</v>
      </c>
      <c r="AG16" s="754">
        <v>0.68</v>
      </c>
      <c r="AH16" s="754"/>
      <c r="AI16" s="754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944</v>
      </c>
      <c r="X17" s="755" t="s">
        <v>849</v>
      </c>
      <c r="Y17" s="757">
        <v>1.28</v>
      </c>
      <c r="Z17" s="757">
        <v>1.1499999999999999</v>
      </c>
      <c r="AA17" s="81">
        <v>0.61</v>
      </c>
      <c r="AB17" s="2">
        <v>0.56000000000000005</v>
      </c>
      <c r="AC17" s="781">
        <v>0.76</v>
      </c>
      <c r="AD17" s="754">
        <v>0.75</v>
      </c>
      <c r="AE17" s="754">
        <v>0.45</v>
      </c>
      <c r="AF17" s="754">
        <v>0.27</v>
      </c>
      <c r="AG17" s="754">
        <v>0.56000000000000005</v>
      </c>
      <c r="AH17" s="754"/>
      <c r="AI17" s="754"/>
      <c r="AJ17" s="780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961</v>
      </c>
      <c r="X18" s="755" t="s">
        <v>850</v>
      </c>
      <c r="Y18" s="757">
        <v>13.1</v>
      </c>
      <c r="Z18" s="757">
        <v>13.1</v>
      </c>
      <c r="AA18" s="81">
        <v>11.3</v>
      </c>
      <c r="AB18" s="2">
        <v>9.99</v>
      </c>
      <c r="AC18" s="781">
        <v>8.75</v>
      </c>
      <c r="AD18" s="754">
        <v>8.01</v>
      </c>
      <c r="AE18" s="754">
        <v>7.65</v>
      </c>
      <c r="AF18" s="754">
        <v>6.94</v>
      </c>
      <c r="AG18" s="754">
        <v>6.8</v>
      </c>
      <c r="AH18" s="754"/>
      <c r="AI18" s="754"/>
      <c r="AJ18" s="754"/>
      <c r="AK18" s="754"/>
      <c r="AL18" s="754"/>
      <c r="AM18" s="754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928</v>
      </c>
      <c r="X19" s="755" t="s">
        <v>851</v>
      </c>
      <c r="Y19" s="757">
        <v>0.03</v>
      </c>
      <c r="Z19" s="757">
        <v>0.05</v>
      </c>
      <c r="AA19" s="81" t="s">
        <v>866</v>
      </c>
      <c r="AB19" s="2" t="s">
        <v>866</v>
      </c>
      <c r="AC19" s="781" t="s">
        <v>866</v>
      </c>
      <c r="AD19" s="754" t="s">
        <v>866</v>
      </c>
      <c r="AE19" s="754" t="s">
        <v>866</v>
      </c>
      <c r="AF19" s="754">
        <v>0.02</v>
      </c>
      <c r="AG19" s="754" t="s">
        <v>866</v>
      </c>
      <c r="AH19" s="754"/>
      <c r="AI19" s="754"/>
      <c r="AJ19" s="754"/>
      <c r="AK19" s="754"/>
      <c r="AL19" s="754"/>
      <c r="AM19" s="754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5" t="s">
        <v>852</v>
      </c>
      <c r="Y20" s="757">
        <v>19.600000000000001</v>
      </c>
      <c r="Z20" s="757">
        <v>19.100000000000001</v>
      </c>
      <c r="AA20" s="81">
        <v>18.100000000000001</v>
      </c>
      <c r="AB20" s="2">
        <v>15.8</v>
      </c>
      <c r="AC20" s="781">
        <v>18.2</v>
      </c>
      <c r="AD20" s="754">
        <v>21</v>
      </c>
      <c r="AE20" s="754">
        <v>19.2</v>
      </c>
      <c r="AF20" s="754">
        <v>23.3</v>
      </c>
      <c r="AG20" s="754">
        <v>24.2</v>
      </c>
      <c r="AH20" s="754"/>
      <c r="AI20" s="754"/>
      <c r="AJ20" s="754"/>
      <c r="AK20" s="754"/>
      <c r="AL20" s="754"/>
      <c r="AM20" s="754"/>
    </row>
    <row r="21" spans="1:39" x14ac:dyDescent="0.25">
      <c r="X21" s="755" t="s">
        <v>844</v>
      </c>
      <c r="Y21" s="757">
        <v>192.89</v>
      </c>
      <c r="Z21" s="757">
        <v>187</v>
      </c>
      <c r="AA21" s="81">
        <v>174.4</v>
      </c>
      <c r="AB21" s="81">
        <v>147.34</v>
      </c>
      <c r="AC21" s="781">
        <v>154.44</v>
      </c>
      <c r="AD21" s="754">
        <v>169.08</v>
      </c>
      <c r="AE21" s="754">
        <v>150.96</v>
      </c>
      <c r="AF21" s="754">
        <v>161.86000000000001</v>
      </c>
      <c r="AG21" s="754">
        <v>164.44</v>
      </c>
      <c r="AH21" s="754"/>
      <c r="AI21" s="754"/>
      <c r="AJ21" s="754"/>
      <c r="AK21" s="754"/>
      <c r="AL21" s="754"/>
      <c r="AM21" s="754"/>
    </row>
    <row r="22" spans="1:39" x14ac:dyDescent="0.25">
      <c r="X22" s="755" t="s">
        <v>856</v>
      </c>
      <c r="Y22" s="81"/>
      <c r="Z22" s="758">
        <f t="shared" ref="Z22:AF22" si="6">(Z21-Y21)/Y21</f>
        <v>-3.0535538389755749E-2</v>
      </c>
      <c r="AA22" s="758">
        <f t="shared" si="6"/>
        <v>-6.7379679144385002E-2</v>
      </c>
      <c r="AB22" s="758">
        <f t="shared" si="6"/>
        <v>-0.1551605504587156</v>
      </c>
      <c r="AC22" s="758">
        <f t="shared" si="6"/>
        <v>4.8187864802497586E-2</v>
      </c>
      <c r="AD22" s="758">
        <f t="shared" si="6"/>
        <v>9.4794094794094896E-2</v>
      </c>
      <c r="AE22" s="758">
        <f t="shared" si="6"/>
        <v>-0.10716820440028391</v>
      </c>
      <c r="AF22" s="758">
        <f t="shared" si="6"/>
        <v>7.2204557498675173E-2</v>
      </c>
      <c r="AG22" s="758">
        <f>(AG21-AE21)/AE21</f>
        <v>8.9295177530471573E-2</v>
      </c>
      <c r="AH22" s="754"/>
      <c r="AI22" s="754"/>
      <c r="AJ22" s="754"/>
      <c r="AK22" s="754"/>
      <c r="AL22" s="754"/>
      <c r="AM22" s="754"/>
    </row>
    <row r="23" spans="1:39" x14ac:dyDescent="0.25">
      <c r="C23" s="4"/>
      <c r="D23" s="3"/>
      <c r="E23" s="3"/>
      <c r="F23" s="3"/>
      <c r="H23" s="70"/>
      <c r="X23" s="755" t="s">
        <v>867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4"/>
      <c r="AI23" s="754"/>
      <c r="AJ23" s="754"/>
      <c r="AK23" s="754"/>
      <c r="AL23" s="754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5" t="s">
        <v>868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4"/>
      <c r="AJ24" s="754"/>
      <c r="AK24" s="754"/>
      <c r="AL24" s="754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5" t="s">
        <v>853</v>
      </c>
      <c r="Y25" s="758">
        <f t="shared" ref="Y25:AD25" si="11">Y23/Y21</f>
        <v>0.81740888589351457</v>
      </c>
      <c r="Z25" s="758">
        <f t="shared" si="11"/>
        <v>0.81566844919786097</v>
      </c>
      <c r="AA25" s="758">
        <f t="shared" si="11"/>
        <v>0.82276376146788999</v>
      </c>
      <c r="AB25" s="758">
        <f t="shared" si="11"/>
        <v>0.81457852585855839</v>
      </c>
      <c r="AC25" s="758">
        <f t="shared" si="11"/>
        <v>0.81623931623931623</v>
      </c>
      <c r="AD25" s="758">
        <f t="shared" si="11"/>
        <v>0.81872486396971844</v>
      </c>
      <c r="AE25" s="758">
        <f t="shared" ref="AE25" si="12">AE23/AE21</f>
        <v>0.81518282988871227</v>
      </c>
      <c r="AF25" s="758">
        <f t="shared" ref="AF25" si="13">AF23/AF21</f>
        <v>0.80767329791177567</v>
      </c>
      <c r="AG25" s="758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0" t="s">
        <v>513</v>
      </c>
      <c r="K29" s="660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802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812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870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11" t="s">
        <v>78</v>
      </c>
      <c r="P42" s="811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2" t="s">
        <v>875</v>
      </c>
      <c r="J43" s="10"/>
      <c r="K43" s="39">
        <v>419</v>
      </c>
      <c r="O43" s="81">
        <v>1.1000000000000001</v>
      </c>
      <c r="P43" s="81">
        <f>O43*$Q$4</f>
        <v>86.603000000000009</v>
      </c>
      <c r="Q43" s="2"/>
      <c r="T43" s="125" t="s">
        <v>97</v>
      </c>
      <c r="U43" s="96">
        <v>66.98</v>
      </c>
      <c r="V43" s="759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2" t="s">
        <v>903</v>
      </c>
      <c r="J44" s="10"/>
      <c r="K44" s="39">
        <v>481</v>
      </c>
      <c r="O44" s="81">
        <v>1.0900000000000001</v>
      </c>
      <c r="P44" s="81">
        <f t="shared" ref="P44:P63" si="23">O44*$Q$4</f>
        <v>85.815700000000007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85.028400000000005</v>
      </c>
      <c r="Q45" s="2"/>
      <c r="T45" s="91" t="s">
        <v>99</v>
      </c>
      <c r="U45" s="86" t="s">
        <v>685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84.241100000000003</v>
      </c>
      <c r="Q46" s="2"/>
      <c r="T46" s="91" t="s">
        <v>100</v>
      </c>
      <c r="U46" s="86" t="s">
        <v>686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83.453800000000015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82.666500000000013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81.879200000000012</v>
      </c>
      <c r="Q49" s="2"/>
      <c r="T49" s="91" t="s">
        <v>103</v>
      </c>
      <c r="U49" s="86" t="s">
        <v>576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81.09190000000001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80.304600000000008</v>
      </c>
      <c r="Q51" s="2"/>
      <c r="T51" s="91" t="s">
        <v>104</v>
      </c>
      <c r="U51" s="86" t="s">
        <v>687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79.517300000000006</v>
      </c>
      <c r="Q52" s="2"/>
      <c r="T52" s="91" t="s">
        <v>105</v>
      </c>
      <c r="U52" s="86" t="s">
        <v>425</v>
      </c>
      <c r="V52" s="86"/>
    </row>
    <row r="53" spans="1:22" x14ac:dyDescent="0.25">
      <c r="O53" s="81">
        <v>1</v>
      </c>
      <c r="P53" s="81">
        <f t="shared" si="23"/>
        <v>78.73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77.942700000000002</v>
      </c>
      <c r="Q54" s="2"/>
      <c r="T54" s="91" t="s">
        <v>109</v>
      </c>
      <c r="U54" s="88">
        <v>10291100</v>
      </c>
      <c r="V54" s="88"/>
    </row>
    <row r="55" spans="1:22" x14ac:dyDescent="0.25">
      <c r="A55" s="376" t="s">
        <v>1</v>
      </c>
      <c r="B55" s="376" t="s">
        <v>2</v>
      </c>
      <c r="C55" s="376" t="s">
        <v>4</v>
      </c>
      <c r="D55" s="378" t="s">
        <v>5</v>
      </c>
      <c r="E55" s="378" t="s">
        <v>94</v>
      </c>
      <c r="F55" s="378" t="s">
        <v>60</v>
      </c>
      <c r="G55" s="376" t="s">
        <v>3</v>
      </c>
      <c r="H55" s="376" t="s">
        <v>6</v>
      </c>
      <c r="I55" s="376" t="s">
        <v>7</v>
      </c>
      <c r="J55" s="376" t="s">
        <v>95</v>
      </c>
      <c r="K55" s="376" t="s">
        <v>61</v>
      </c>
      <c r="L55" s="376" t="s">
        <v>37</v>
      </c>
      <c r="M55" s="376" t="s">
        <v>38</v>
      </c>
      <c r="O55" s="81">
        <v>0.98</v>
      </c>
      <c r="P55" s="81">
        <f t="shared" si="23"/>
        <v>77.1554</v>
      </c>
      <c r="Q55" s="2"/>
      <c r="T55" s="91" t="s">
        <v>107</v>
      </c>
      <c r="U55" s="86" t="s">
        <v>688</v>
      </c>
      <c r="V55" s="86"/>
    </row>
    <row r="56" spans="1:22" x14ac:dyDescent="0.25">
      <c r="A56" s="379" t="s">
        <v>55</v>
      </c>
      <c r="B56" s="369">
        <v>42214</v>
      </c>
      <c r="C56" s="370">
        <v>10</v>
      </c>
      <c r="D56" s="371">
        <v>113.01</v>
      </c>
      <c r="E56" s="371">
        <v>0</v>
      </c>
      <c r="F56" s="371">
        <f t="shared" ref="F56:F81" si="30">C56*D56 + E56</f>
        <v>1130.1000000000001</v>
      </c>
      <c r="G56" s="369">
        <v>42263</v>
      </c>
      <c r="H56" s="374">
        <v>10</v>
      </c>
      <c r="I56" s="371">
        <v>109.35</v>
      </c>
      <c r="J56" s="371">
        <v>0.02</v>
      </c>
      <c r="K56" s="371">
        <f>I56*H56-J56</f>
        <v>1093.48</v>
      </c>
      <c r="L56" s="369">
        <v>42276</v>
      </c>
      <c r="M56" s="371">
        <v>6.45</v>
      </c>
      <c r="O56" s="81">
        <v>0.97</v>
      </c>
      <c r="P56" s="81">
        <f t="shared" si="23"/>
        <v>76.368099999999998</v>
      </c>
      <c r="T56" s="91" t="s">
        <v>110</v>
      </c>
      <c r="U56" s="86">
        <v>6.69</v>
      </c>
      <c r="V56" s="86"/>
    </row>
    <row r="57" spans="1:22" x14ac:dyDescent="0.25">
      <c r="A57" s="380" t="s">
        <v>71</v>
      </c>
      <c r="B57" s="369">
        <v>42247</v>
      </c>
      <c r="C57" s="370">
        <v>15</v>
      </c>
      <c r="D57" s="371">
        <v>105.85</v>
      </c>
      <c r="E57" s="371">
        <v>0</v>
      </c>
      <c r="F57" s="371">
        <f t="shared" si="30"/>
        <v>1587.75</v>
      </c>
      <c r="G57" s="369">
        <v>42284</v>
      </c>
      <c r="H57" s="374">
        <v>10</v>
      </c>
      <c r="I57" s="371">
        <v>97.5</v>
      </c>
      <c r="J57" s="371">
        <v>0.02</v>
      </c>
      <c r="K57" s="371">
        <f>I57*H57-J57</f>
        <v>974.98</v>
      </c>
      <c r="L57" s="369">
        <v>42369</v>
      </c>
      <c r="M57" s="371">
        <v>10.75</v>
      </c>
      <c r="O57" s="81">
        <v>0.96</v>
      </c>
      <c r="P57" s="81">
        <f t="shared" si="23"/>
        <v>75.580799999999996</v>
      </c>
      <c r="T57" s="91" t="s">
        <v>111</v>
      </c>
      <c r="U57" s="86">
        <v>9.94</v>
      </c>
      <c r="V57" s="86"/>
    </row>
    <row r="58" spans="1:22" x14ac:dyDescent="0.25">
      <c r="A58" s="370"/>
      <c r="B58" s="369">
        <v>42278</v>
      </c>
      <c r="C58" s="370">
        <v>10</v>
      </c>
      <c r="D58" s="371">
        <v>96.7</v>
      </c>
      <c r="E58" s="371">
        <v>0</v>
      </c>
      <c r="F58" s="371">
        <f t="shared" si="30"/>
        <v>967</v>
      </c>
      <c r="G58" s="369">
        <v>42409</v>
      </c>
      <c r="H58" s="374">
        <v>10</v>
      </c>
      <c r="I58" s="371">
        <v>88.05</v>
      </c>
      <c r="J58" s="371">
        <v>0.02</v>
      </c>
      <c r="K58" s="371">
        <f>I58*H58-J58</f>
        <v>880.48</v>
      </c>
      <c r="L58" s="369">
        <v>42460</v>
      </c>
      <c r="M58" s="371">
        <v>30.1</v>
      </c>
      <c r="O58" s="81">
        <v>0.95</v>
      </c>
      <c r="P58" s="81">
        <f t="shared" si="23"/>
        <v>74.793499999999995</v>
      </c>
      <c r="T58" s="91" t="s">
        <v>108</v>
      </c>
      <c r="U58" s="86" t="s">
        <v>577</v>
      </c>
      <c r="V58" s="86"/>
    </row>
    <row r="59" spans="1:22" x14ac:dyDescent="0.25">
      <c r="A59" s="370"/>
      <c r="B59" s="369">
        <v>42284</v>
      </c>
      <c r="C59" s="370">
        <v>10</v>
      </c>
      <c r="D59" s="371">
        <v>94.5</v>
      </c>
      <c r="E59" s="371">
        <v>0</v>
      </c>
      <c r="F59" s="371">
        <f t="shared" si="30"/>
        <v>945</v>
      </c>
      <c r="G59" s="369">
        <v>42447</v>
      </c>
      <c r="H59" s="374">
        <v>20</v>
      </c>
      <c r="I59" s="371">
        <v>90.59</v>
      </c>
      <c r="J59" s="371">
        <v>0.04</v>
      </c>
      <c r="K59" s="371">
        <f>I59*H59-J59</f>
        <v>1811.7600000000002</v>
      </c>
      <c r="L59" s="369">
        <v>42550</v>
      </c>
      <c r="M59" s="371">
        <v>47</v>
      </c>
      <c r="O59" s="81">
        <v>0.94</v>
      </c>
      <c r="P59" s="81">
        <f t="shared" si="23"/>
        <v>74.006199999999993</v>
      </c>
    </row>
    <row r="60" spans="1:22" x14ac:dyDescent="0.25">
      <c r="A60" s="370"/>
      <c r="B60" s="711">
        <v>42376</v>
      </c>
      <c r="C60" s="370">
        <v>25</v>
      </c>
      <c r="D60" s="371">
        <v>96.5</v>
      </c>
      <c r="E60" s="371">
        <v>0</v>
      </c>
      <c r="F60" s="371">
        <f t="shared" si="30"/>
        <v>2412.5</v>
      </c>
      <c r="G60" s="369">
        <v>42478</v>
      </c>
      <c r="H60" s="374">
        <v>25</v>
      </c>
      <c r="I60" s="371">
        <v>99.45</v>
      </c>
      <c r="J60" s="371">
        <v>0.05</v>
      </c>
      <c r="K60" s="371">
        <f>I60*H60-J60</f>
        <v>2486.1999999999998</v>
      </c>
      <c r="L60" s="369">
        <v>42642</v>
      </c>
      <c r="M60" s="371">
        <v>94</v>
      </c>
      <c r="O60" s="81">
        <v>0.93</v>
      </c>
      <c r="P60" s="81">
        <f t="shared" si="23"/>
        <v>73.218900000000005</v>
      </c>
    </row>
    <row r="61" spans="1:22" x14ac:dyDescent="0.25">
      <c r="A61" s="370"/>
      <c r="B61" s="369">
        <v>42402</v>
      </c>
      <c r="C61" s="370">
        <v>10</v>
      </c>
      <c r="D61" s="371">
        <v>82.55</v>
      </c>
      <c r="E61" s="371">
        <v>0</v>
      </c>
      <c r="F61" s="371">
        <f t="shared" si="30"/>
        <v>825.5</v>
      </c>
      <c r="G61" s="370"/>
      <c r="H61" s="370"/>
      <c r="I61" s="370"/>
      <c r="J61" s="370"/>
      <c r="K61" s="370"/>
      <c r="L61" s="369">
        <v>42734</v>
      </c>
      <c r="M61" s="371">
        <v>117.5</v>
      </c>
      <c r="O61" s="81">
        <v>0.92</v>
      </c>
      <c r="P61" s="81">
        <f t="shared" si="23"/>
        <v>72.431600000000003</v>
      </c>
    </row>
    <row r="62" spans="1:22" x14ac:dyDescent="0.25">
      <c r="A62" s="370"/>
      <c r="B62" s="369">
        <v>42426</v>
      </c>
      <c r="C62" s="370">
        <v>20</v>
      </c>
      <c r="D62" s="371">
        <v>88.03</v>
      </c>
      <c r="E62" s="371">
        <v>0</v>
      </c>
      <c r="F62" s="371">
        <f t="shared" si="30"/>
        <v>1760.6</v>
      </c>
      <c r="G62" s="370"/>
      <c r="H62" s="374"/>
      <c r="I62" s="370"/>
      <c r="J62" s="370"/>
      <c r="K62" s="370"/>
      <c r="L62" s="369">
        <v>42824</v>
      </c>
      <c r="M62" s="371">
        <v>130</v>
      </c>
      <c r="O62" s="81">
        <v>0.91</v>
      </c>
      <c r="P62" s="81">
        <f t="shared" si="23"/>
        <v>71.644300000000001</v>
      </c>
    </row>
    <row r="63" spans="1:22" x14ac:dyDescent="0.25">
      <c r="A63" s="392"/>
      <c r="B63" s="369">
        <v>42488</v>
      </c>
      <c r="C63" s="370">
        <v>25</v>
      </c>
      <c r="D63" s="371">
        <v>98.25</v>
      </c>
      <c r="E63" s="371">
        <v>0</v>
      </c>
      <c r="F63" s="371">
        <f t="shared" si="30"/>
        <v>2456.25</v>
      </c>
      <c r="G63" s="370"/>
      <c r="H63" s="370"/>
      <c r="I63" s="370"/>
      <c r="J63" s="370"/>
      <c r="K63" s="370"/>
      <c r="L63" s="369">
        <v>42916</v>
      </c>
      <c r="M63" s="371">
        <v>130</v>
      </c>
      <c r="O63" s="81">
        <v>0.9</v>
      </c>
      <c r="P63" s="81">
        <f t="shared" si="23"/>
        <v>70.856999999999999</v>
      </c>
    </row>
    <row r="64" spans="1:22" x14ac:dyDescent="0.25">
      <c r="A64" s="392" t="s">
        <v>212</v>
      </c>
      <c r="B64" s="369">
        <v>42489</v>
      </c>
      <c r="C64" s="370">
        <v>20</v>
      </c>
      <c r="D64" s="371">
        <v>90.34</v>
      </c>
      <c r="E64" s="371">
        <v>0</v>
      </c>
      <c r="F64" s="371">
        <f t="shared" si="30"/>
        <v>1806.8000000000002</v>
      </c>
      <c r="G64" s="370"/>
      <c r="H64" s="370"/>
      <c r="I64" s="370"/>
      <c r="J64" s="370"/>
      <c r="K64" s="370"/>
      <c r="L64" s="370"/>
      <c r="M64" s="370"/>
    </row>
    <row r="65" spans="1:13" x14ac:dyDescent="0.25">
      <c r="A65" s="392">
        <v>92.64</v>
      </c>
      <c r="B65" s="369">
        <v>42489</v>
      </c>
      <c r="C65" s="370">
        <v>30</v>
      </c>
      <c r="D65" s="371">
        <v>89.5</v>
      </c>
      <c r="E65" s="371">
        <v>0</v>
      </c>
      <c r="F65" s="371">
        <f t="shared" si="30"/>
        <v>2685</v>
      </c>
      <c r="G65" s="369">
        <v>42552</v>
      </c>
      <c r="H65" s="374">
        <v>100</v>
      </c>
      <c r="I65" s="371">
        <v>83.74</v>
      </c>
      <c r="J65" s="371">
        <v>0.18</v>
      </c>
      <c r="K65" s="371">
        <f t="shared" ref="K65:K80" si="31">I65*H65-J65</f>
        <v>8373.82</v>
      </c>
      <c r="L65" s="370"/>
      <c r="M65" s="370"/>
    </row>
    <row r="66" spans="1:13" x14ac:dyDescent="0.25">
      <c r="A66" s="370"/>
      <c r="B66" s="369">
        <v>42545</v>
      </c>
      <c r="C66" s="370">
        <v>100</v>
      </c>
      <c r="D66" s="371">
        <v>80.47</v>
      </c>
      <c r="E66" s="371">
        <v>0</v>
      </c>
      <c r="F66" s="371">
        <f t="shared" si="30"/>
        <v>8047</v>
      </c>
      <c r="G66" s="369">
        <v>42646</v>
      </c>
      <c r="H66" s="374">
        <v>50</v>
      </c>
      <c r="I66" s="371">
        <v>77.7</v>
      </c>
      <c r="J66" s="371">
        <v>0.08</v>
      </c>
      <c r="K66" s="371">
        <f t="shared" si="31"/>
        <v>3884.92</v>
      </c>
      <c r="L66" s="370"/>
      <c r="M66" s="370"/>
    </row>
    <row r="67" spans="1:13" x14ac:dyDescent="0.25">
      <c r="A67" s="370"/>
      <c r="B67" s="369">
        <v>42577</v>
      </c>
      <c r="C67" s="370">
        <v>20</v>
      </c>
      <c r="D67" s="371">
        <v>80.64</v>
      </c>
      <c r="E67" s="371">
        <v>0</v>
      </c>
      <c r="F67" s="371">
        <f t="shared" si="30"/>
        <v>1612.8</v>
      </c>
      <c r="G67" s="369">
        <v>42683</v>
      </c>
      <c r="H67" s="374">
        <v>50</v>
      </c>
      <c r="I67" s="371">
        <v>78.98</v>
      </c>
      <c r="J67" s="371">
        <v>0.09</v>
      </c>
      <c r="K67" s="371">
        <f t="shared" si="31"/>
        <v>3948.91</v>
      </c>
      <c r="L67" s="370"/>
      <c r="M67" s="370"/>
    </row>
    <row r="68" spans="1:13" x14ac:dyDescent="0.25">
      <c r="A68" s="370"/>
      <c r="B68" s="369">
        <v>42580</v>
      </c>
      <c r="C68" s="370">
        <v>30</v>
      </c>
      <c r="D68" s="371">
        <v>79.38</v>
      </c>
      <c r="E68" s="371">
        <v>0</v>
      </c>
      <c r="F68" s="371">
        <f t="shared" si="30"/>
        <v>2381.3999999999996</v>
      </c>
      <c r="G68" s="369">
        <v>42685</v>
      </c>
      <c r="H68" s="374">
        <v>50</v>
      </c>
      <c r="I68" s="370">
        <v>76.45</v>
      </c>
      <c r="J68" s="370">
        <v>0.08</v>
      </c>
      <c r="K68" s="371">
        <f t="shared" si="31"/>
        <v>3822.42</v>
      </c>
      <c r="L68" s="370"/>
      <c r="M68" s="370"/>
    </row>
    <row r="69" spans="1:13" x14ac:dyDescent="0.25">
      <c r="A69" s="370"/>
      <c r="B69" s="369">
        <v>42608</v>
      </c>
      <c r="C69" s="370">
        <v>20</v>
      </c>
      <c r="D69" s="371">
        <v>79.28</v>
      </c>
      <c r="E69" s="371">
        <v>0</v>
      </c>
      <c r="F69" s="371">
        <f t="shared" si="30"/>
        <v>1585.6</v>
      </c>
      <c r="G69" s="369">
        <v>42697</v>
      </c>
      <c r="H69" s="374">
        <v>50</v>
      </c>
      <c r="I69" s="371">
        <v>75.3</v>
      </c>
      <c r="J69" s="371">
        <v>0.08</v>
      </c>
      <c r="K69" s="371">
        <f t="shared" si="31"/>
        <v>3764.92</v>
      </c>
      <c r="L69" s="370"/>
      <c r="M69" s="370"/>
    </row>
    <row r="70" spans="1:13" x14ac:dyDescent="0.25">
      <c r="A70" s="370"/>
      <c r="B70" s="369">
        <v>42611</v>
      </c>
      <c r="C70" s="370">
        <v>30</v>
      </c>
      <c r="D70" s="371">
        <v>77.680000000000007</v>
      </c>
      <c r="E70" s="371">
        <v>0</v>
      </c>
      <c r="F70" s="371">
        <f t="shared" si="30"/>
        <v>2330.4</v>
      </c>
      <c r="G70" s="369">
        <v>42717</v>
      </c>
      <c r="H70" s="374">
        <v>50</v>
      </c>
      <c r="I70" s="371">
        <v>74.78</v>
      </c>
      <c r="J70" s="371">
        <v>0.08</v>
      </c>
      <c r="K70" s="371">
        <f t="shared" si="31"/>
        <v>3738.92</v>
      </c>
      <c r="L70" s="370"/>
      <c r="M70" s="370"/>
    </row>
    <row r="71" spans="1:13" x14ac:dyDescent="0.25">
      <c r="A71" s="370"/>
      <c r="B71" s="369">
        <v>42646</v>
      </c>
      <c r="C71" s="370">
        <v>50</v>
      </c>
      <c r="D71" s="371">
        <v>77.28</v>
      </c>
      <c r="E71" s="371">
        <v>0</v>
      </c>
      <c r="F71" s="371">
        <f t="shared" si="30"/>
        <v>3864</v>
      </c>
      <c r="G71" s="369">
        <v>42717</v>
      </c>
      <c r="H71" s="374">
        <v>50</v>
      </c>
      <c r="I71" s="371">
        <v>75.73</v>
      </c>
      <c r="J71" s="371">
        <v>0.08</v>
      </c>
      <c r="K71" s="371">
        <f t="shared" si="31"/>
        <v>3786.42</v>
      </c>
      <c r="L71" s="370"/>
      <c r="M71" s="370"/>
    </row>
    <row r="72" spans="1:13" x14ac:dyDescent="0.25">
      <c r="A72" s="370"/>
      <c r="B72" s="369">
        <v>42649</v>
      </c>
      <c r="C72" s="370">
        <v>50</v>
      </c>
      <c r="D72" s="371">
        <v>76.38</v>
      </c>
      <c r="E72" s="371">
        <v>0</v>
      </c>
      <c r="F72" s="371">
        <f t="shared" si="30"/>
        <v>3819</v>
      </c>
      <c r="G72" s="369">
        <v>42738</v>
      </c>
      <c r="H72" s="374">
        <v>50</v>
      </c>
      <c r="I72" s="371">
        <v>73.58</v>
      </c>
      <c r="J72" s="371">
        <v>0.08</v>
      </c>
      <c r="K72" s="371">
        <f t="shared" si="31"/>
        <v>3678.92</v>
      </c>
      <c r="L72" s="370"/>
      <c r="M72" s="370"/>
    </row>
    <row r="73" spans="1:13" x14ac:dyDescent="0.25">
      <c r="A73" s="370"/>
      <c r="B73" s="369">
        <v>42685</v>
      </c>
      <c r="C73" s="370">
        <v>50</v>
      </c>
      <c r="D73" s="371">
        <v>75.78</v>
      </c>
      <c r="E73" s="371">
        <v>0</v>
      </c>
      <c r="F73" s="371">
        <f t="shared" si="30"/>
        <v>3789</v>
      </c>
      <c r="G73" s="369">
        <v>42760</v>
      </c>
      <c r="H73" s="374">
        <v>50</v>
      </c>
      <c r="I73" s="371">
        <v>71.78</v>
      </c>
      <c r="J73" s="371">
        <v>0.08</v>
      </c>
      <c r="K73" s="371">
        <f t="shared" si="31"/>
        <v>3588.92</v>
      </c>
      <c r="L73" s="370"/>
      <c r="M73" s="370"/>
    </row>
    <row r="74" spans="1:13" x14ac:dyDescent="0.25">
      <c r="A74" s="370"/>
      <c r="B74" s="369">
        <v>42692</v>
      </c>
      <c r="C74" s="370">
        <v>50</v>
      </c>
      <c r="D74" s="371">
        <v>74.45</v>
      </c>
      <c r="E74" s="371">
        <v>0</v>
      </c>
      <c r="F74" s="371">
        <f t="shared" si="30"/>
        <v>3722.5</v>
      </c>
      <c r="G74" s="369">
        <v>42781</v>
      </c>
      <c r="H74" s="374">
        <v>50</v>
      </c>
      <c r="I74" s="371">
        <v>68.98</v>
      </c>
      <c r="J74" s="371">
        <v>0.08</v>
      </c>
      <c r="K74" s="371">
        <f t="shared" si="31"/>
        <v>3448.92</v>
      </c>
      <c r="L74" s="370"/>
      <c r="M74" s="370"/>
    </row>
    <row r="75" spans="1:13" x14ac:dyDescent="0.25">
      <c r="A75" s="370"/>
      <c r="B75" s="369">
        <v>42705</v>
      </c>
      <c r="C75" s="370">
        <v>50</v>
      </c>
      <c r="D75" s="371">
        <v>73.319999999999993</v>
      </c>
      <c r="E75" s="371">
        <v>0</v>
      </c>
      <c r="F75" s="371">
        <f t="shared" si="30"/>
        <v>3665.9999999999995</v>
      </c>
      <c r="G75" s="369">
        <v>42781</v>
      </c>
      <c r="H75" s="374">
        <v>50</v>
      </c>
      <c r="I75" s="371">
        <v>69.75</v>
      </c>
      <c r="J75" s="371">
        <v>0.08</v>
      </c>
      <c r="K75" s="371">
        <f t="shared" si="31"/>
        <v>3487.42</v>
      </c>
      <c r="L75" s="370"/>
      <c r="M75" s="370"/>
    </row>
    <row r="76" spans="1:13" x14ac:dyDescent="0.25">
      <c r="A76" s="370"/>
      <c r="B76" s="369">
        <v>42717</v>
      </c>
      <c r="C76" s="370">
        <v>50</v>
      </c>
      <c r="D76" s="371">
        <v>75.180000000000007</v>
      </c>
      <c r="E76" s="371">
        <v>0</v>
      </c>
      <c r="F76" s="371">
        <f t="shared" si="30"/>
        <v>3759.0000000000005</v>
      </c>
      <c r="G76" s="369">
        <v>42940</v>
      </c>
      <c r="H76" s="374">
        <v>50</v>
      </c>
      <c r="I76" s="371">
        <v>74.08</v>
      </c>
      <c r="J76" s="371">
        <v>0.09</v>
      </c>
      <c r="K76" s="371">
        <f t="shared" si="31"/>
        <v>3703.91</v>
      </c>
      <c r="L76" s="370"/>
      <c r="M76" s="370"/>
    </row>
    <row r="77" spans="1:13" x14ac:dyDescent="0.25">
      <c r="A77" s="370"/>
      <c r="B77" s="369">
        <v>42733</v>
      </c>
      <c r="C77" s="370">
        <v>50</v>
      </c>
      <c r="D77" s="371">
        <v>72.08</v>
      </c>
      <c r="E77" s="371">
        <v>0</v>
      </c>
      <c r="F77" s="371">
        <f t="shared" si="30"/>
        <v>3604</v>
      </c>
      <c r="G77" s="369">
        <v>42977</v>
      </c>
      <c r="H77" s="374">
        <v>50</v>
      </c>
      <c r="I77" s="371">
        <v>80.08</v>
      </c>
      <c r="J77" s="371">
        <v>0.09</v>
      </c>
      <c r="K77" s="371">
        <f t="shared" si="31"/>
        <v>4003.91</v>
      </c>
      <c r="L77" s="370"/>
      <c r="M77" s="370"/>
    </row>
    <row r="78" spans="1:13" x14ac:dyDescent="0.25">
      <c r="A78" s="370"/>
      <c r="B78" s="369">
        <v>42752</v>
      </c>
      <c r="C78" s="370">
        <v>50</v>
      </c>
      <c r="D78" s="371">
        <v>71.88</v>
      </c>
      <c r="E78" s="371">
        <v>0</v>
      </c>
      <c r="F78" s="371">
        <f t="shared" si="30"/>
        <v>3594</v>
      </c>
      <c r="G78" s="369">
        <v>42977</v>
      </c>
      <c r="H78" s="374">
        <v>50</v>
      </c>
      <c r="I78" s="371">
        <v>81.08</v>
      </c>
      <c r="J78" s="371">
        <v>0.09</v>
      </c>
      <c r="K78" s="371">
        <f t="shared" si="31"/>
        <v>4053.91</v>
      </c>
      <c r="L78" s="370"/>
      <c r="M78" s="370"/>
    </row>
    <row r="79" spans="1:13" x14ac:dyDescent="0.25">
      <c r="A79" s="370"/>
      <c r="B79" s="369">
        <v>42755</v>
      </c>
      <c r="C79" s="370">
        <v>50</v>
      </c>
      <c r="D79" s="371">
        <v>70.78</v>
      </c>
      <c r="E79" s="371">
        <v>0</v>
      </c>
      <c r="F79" s="371">
        <f t="shared" si="30"/>
        <v>3539</v>
      </c>
      <c r="G79" s="369">
        <v>42978</v>
      </c>
      <c r="H79" s="374">
        <v>50</v>
      </c>
      <c r="I79" s="371">
        <v>83.18</v>
      </c>
      <c r="J79" s="371">
        <v>0.1</v>
      </c>
      <c r="K79" s="371">
        <f t="shared" si="31"/>
        <v>4158.8999999999996</v>
      </c>
      <c r="L79" s="370"/>
      <c r="M79" s="370"/>
    </row>
    <row r="80" spans="1:13" x14ac:dyDescent="0.25">
      <c r="A80" s="370"/>
      <c r="B80" s="369">
        <v>42773</v>
      </c>
      <c r="C80" s="370">
        <v>50</v>
      </c>
      <c r="D80" s="371">
        <v>69.48</v>
      </c>
      <c r="E80" s="371">
        <v>0</v>
      </c>
      <c r="F80" s="371">
        <f t="shared" si="30"/>
        <v>3474</v>
      </c>
      <c r="G80" s="369">
        <v>42984</v>
      </c>
      <c r="H80" s="374">
        <v>50</v>
      </c>
      <c r="I80" s="371">
        <v>82.98</v>
      </c>
      <c r="J80" s="371">
        <v>-0.03</v>
      </c>
      <c r="K80" s="371">
        <f t="shared" si="31"/>
        <v>4149.03</v>
      </c>
      <c r="L80" s="370"/>
      <c r="M80" s="370"/>
    </row>
    <row r="81" spans="1:13" x14ac:dyDescent="0.25">
      <c r="A81" s="370"/>
      <c r="B81" s="369">
        <v>42774</v>
      </c>
      <c r="C81" s="370">
        <v>50</v>
      </c>
      <c r="D81" s="371">
        <v>67.680000000000007</v>
      </c>
      <c r="E81" s="371">
        <v>0</v>
      </c>
      <c r="F81" s="371">
        <f t="shared" si="30"/>
        <v>3384.0000000000005</v>
      </c>
      <c r="G81" s="370"/>
      <c r="H81" s="370"/>
      <c r="I81" s="370"/>
      <c r="J81" s="370"/>
      <c r="K81" s="370"/>
      <c r="L81" s="370"/>
      <c r="M81" s="370"/>
    </row>
    <row r="82" spans="1:13" x14ac:dyDescent="0.25">
      <c r="A82" s="370"/>
      <c r="B82" s="369"/>
      <c r="C82" s="370"/>
      <c r="D82" s="371"/>
      <c r="E82" s="371"/>
      <c r="F82" s="371"/>
      <c r="G82" s="370"/>
      <c r="H82" s="370"/>
      <c r="I82" s="370"/>
      <c r="J82" s="370"/>
      <c r="K82" s="370"/>
      <c r="L82" s="370"/>
      <c r="M82" s="370"/>
    </row>
    <row r="83" spans="1:13" x14ac:dyDescent="0.25">
      <c r="A83" s="370"/>
      <c r="B83" s="444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4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1">
        <v>26</v>
      </c>
    </row>
    <row r="84" spans="1:13" x14ac:dyDescent="0.25">
      <c r="A84" s="370"/>
      <c r="B84" s="444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4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0">
        <v>52</v>
      </c>
    </row>
    <row r="85" spans="1:13" x14ac:dyDescent="0.25">
      <c r="A85" s="370"/>
      <c r="B85" s="444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4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0"/>
      <c r="B86" s="444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4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0"/>
      <c r="B87" s="444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4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0"/>
      <c r="B88" s="793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4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0"/>
      <c r="B89" s="369"/>
      <c r="C89" s="370"/>
      <c r="D89" s="371"/>
      <c r="E89" s="371"/>
      <c r="F89" s="371"/>
      <c r="G89" s="370"/>
      <c r="H89" s="370"/>
      <c r="I89" s="370"/>
      <c r="J89" s="370"/>
      <c r="K89" s="370"/>
      <c r="L89" s="370"/>
      <c r="M89" s="370"/>
    </row>
    <row r="90" spans="1:13" x14ac:dyDescent="0.25">
      <c r="A90" s="370"/>
      <c r="B90" s="369"/>
      <c r="C90" s="370"/>
      <c r="D90" s="371"/>
      <c r="E90" s="371"/>
      <c r="F90" s="371"/>
      <c r="G90" s="370"/>
      <c r="H90" s="370"/>
      <c r="I90" s="370"/>
      <c r="J90" s="370"/>
      <c r="K90" s="370"/>
      <c r="L90" s="370"/>
      <c r="M90" s="370"/>
    </row>
    <row r="91" spans="1:13" x14ac:dyDescent="0.25">
      <c r="A91" s="370"/>
      <c r="B91" s="369"/>
      <c r="C91" s="370"/>
      <c r="D91" s="371"/>
      <c r="E91" s="371"/>
      <c r="F91" s="371"/>
      <c r="G91" s="370"/>
      <c r="H91" s="370"/>
      <c r="I91" s="370"/>
      <c r="J91" s="370"/>
      <c r="K91" s="370"/>
      <c r="L91" s="370"/>
      <c r="M91" s="370"/>
    </row>
    <row r="92" spans="1:13" x14ac:dyDescent="0.25">
      <c r="A92" s="370"/>
      <c r="B92" s="369"/>
      <c r="C92" s="370"/>
      <c r="D92" s="371"/>
      <c r="E92" s="371"/>
      <c r="F92" s="371"/>
      <c r="G92" s="370"/>
      <c r="H92" s="370"/>
      <c r="I92" s="370"/>
      <c r="J92" s="370"/>
      <c r="K92" s="370"/>
      <c r="L92" s="370"/>
      <c r="M92" s="370"/>
    </row>
    <row r="93" spans="1:13" x14ac:dyDescent="0.25">
      <c r="A93" s="370"/>
      <c r="B93" s="370"/>
      <c r="C93" s="370"/>
      <c r="D93" s="371"/>
      <c r="E93" s="371"/>
      <c r="F93" s="371"/>
      <c r="G93" s="370"/>
      <c r="H93" s="370"/>
      <c r="I93" s="370"/>
      <c r="J93" s="370"/>
      <c r="K93" s="370"/>
      <c r="L93" s="370"/>
      <c r="M93" s="370"/>
    </row>
    <row r="94" spans="1:13" x14ac:dyDescent="0.25">
      <c r="A94" s="370"/>
      <c r="B94" s="370"/>
      <c r="C94" s="370"/>
      <c r="D94" s="371"/>
      <c r="E94" s="371"/>
      <c r="F94" s="371"/>
      <c r="G94" s="370"/>
      <c r="H94" s="374"/>
      <c r="I94" s="370"/>
      <c r="J94" s="370"/>
      <c r="K94" s="370"/>
      <c r="L94" s="370"/>
      <c r="M94" s="370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4" t="s">
        <v>194</v>
      </c>
      <c r="B96" s="455"/>
      <c r="C96" s="456">
        <f>SumByColor($A$25,C56:C94)</f>
        <v>300</v>
      </c>
      <c r="D96" s="456"/>
      <c r="E96" s="456"/>
      <c r="F96" s="457">
        <f>SumByColor($A$25,F56:F94)</f>
        <v>23205</v>
      </c>
      <c r="G96" s="456"/>
      <c r="H96" s="456">
        <f>SumByColor($A$25,H56:H94)</f>
        <v>300</v>
      </c>
      <c r="I96" s="456"/>
      <c r="J96" s="456"/>
      <c r="K96" s="457">
        <f>SumByColor($A$25,K56:K94)</f>
        <v>23278</v>
      </c>
      <c r="L96" s="456"/>
      <c r="M96" s="457">
        <f>SumByColor($A$25,M56:M94)</f>
        <v>78</v>
      </c>
    </row>
    <row r="103" spans="1:12" x14ac:dyDescent="0.25">
      <c r="A103" s="712"/>
      <c r="B103" s="712"/>
      <c r="C103" s="712"/>
      <c r="D103" s="713"/>
      <c r="E103" s="713"/>
      <c r="F103" s="713"/>
      <c r="G103" s="712"/>
      <c r="H103" s="712"/>
      <c r="I103" s="712"/>
      <c r="J103" s="712"/>
      <c r="K103" s="712"/>
      <c r="L103" s="712"/>
    </row>
    <row r="104" spans="1:12" x14ac:dyDescent="0.25">
      <c r="A104" s="712"/>
      <c r="B104" s="497" t="s">
        <v>113</v>
      </c>
      <c r="C104" s="497" t="s">
        <v>146</v>
      </c>
      <c r="D104" s="498" t="s">
        <v>145</v>
      </c>
      <c r="E104" s="499" t="s">
        <v>147</v>
      </c>
      <c r="F104" s="500" t="s">
        <v>65</v>
      </c>
      <c r="G104" s="501" t="s">
        <v>151</v>
      </c>
      <c r="H104" s="500" t="s">
        <v>88</v>
      </c>
      <c r="I104" s="500" t="s">
        <v>154</v>
      </c>
      <c r="J104" s="714" t="s">
        <v>513</v>
      </c>
      <c r="K104" s="714" t="s">
        <v>150</v>
      </c>
      <c r="L104" s="712"/>
    </row>
    <row r="105" spans="1:12" x14ac:dyDescent="0.25">
      <c r="A105" s="370"/>
      <c r="B105" s="369">
        <v>42304</v>
      </c>
      <c r="C105" s="370">
        <v>25</v>
      </c>
      <c r="D105" s="371">
        <v>102.2</v>
      </c>
      <c r="E105" s="371">
        <v>110.96</v>
      </c>
      <c r="F105" s="371">
        <f>C105*(E105-D105)</f>
        <v>218.99999999999977</v>
      </c>
      <c r="G105" s="371">
        <f>D105*C105</f>
        <v>2555</v>
      </c>
      <c r="H105" s="372">
        <f>(E105-D105)/D105</f>
        <v>8.5714285714285618E-2</v>
      </c>
      <c r="I105" s="715"/>
      <c r="J105" s="370"/>
      <c r="K105" s="370"/>
      <c r="L105" s="370"/>
    </row>
    <row r="106" spans="1:12" x14ac:dyDescent="0.25">
      <c r="A106" s="370"/>
      <c r="B106" s="369">
        <v>42332</v>
      </c>
      <c r="C106" s="370">
        <v>25</v>
      </c>
      <c r="D106" s="371">
        <v>102.2</v>
      </c>
      <c r="E106" s="371">
        <v>106.36</v>
      </c>
      <c r="F106" s="371">
        <f t="shared" ref="F106:F114" si="34">C106*(E106-D106)</f>
        <v>103.99999999999991</v>
      </c>
      <c r="G106" s="371">
        <f t="shared" ref="G106:G169" si="35">D106*C106</f>
        <v>2555</v>
      </c>
      <c r="H106" s="372">
        <f t="shared" ref="H106:H169" si="36">(E106-D106)/D106</f>
        <v>4.070450097847355E-2</v>
      </c>
      <c r="I106" s="715"/>
      <c r="J106" s="370"/>
      <c r="K106" s="370"/>
      <c r="L106" s="370"/>
    </row>
    <row r="107" spans="1:12" x14ac:dyDescent="0.25">
      <c r="A107" s="370"/>
      <c r="B107" s="369">
        <v>42349</v>
      </c>
      <c r="C107" s="370">
        <v>25</v>
      </c>
      <c r="D107" s="371">
        <v>102.2</v>
      </c>
      <c r="E107" s="371">
        <v>100.03</v>
      </c>
      <c r="F107" s="371">
        <f t="shared" si="34"/>
        <v>-54.250000000000043</v>
      </c>
      <c r="G107" s="371">
        <f t="shared" si="35"/>
        <v>2555</v>
      </c>
      <c r="H107" s="372">
        <f t="shared" si="36"/>
        <v>-2.1232876712328784E-2</v>
      </c>
      <c r="I107" s="715"/>
      <c r="J107" s="370"/>
      <c r="K107" s="370"/>
      <c r="L107" s="370"/>
    </row>
    <row r="108" spans="1:12" x14ac:dyDescent="0.25">
      <c r="A108" s="370"/>
      <c r="B108" s="369">
        <v>42361</v>
      </c>
      <c r="C108" s="370">
        <v>25</v>
      </c>
      <c r="D108" s="371">
        <v>102.2</v>
      </c>
      <c r="E108" s="371">
        <v>102.86</v>
      </c>
      <c r="F108" s="371">
        <f t="shared" si="34"/>
        <v>16.499999999999915</v>
      </c>
      <c r="G108" s="371">
        <f t="shared" si="35"/>
        <v>2555</v>
      </c>
      <c r="H108" s="372">
        <f t="shared" si="36"/>
        <v>6.4579256360077939E-3</v>
      </c>
      <c r="I108" s="715"/>
      <c r="J108" s="370"/>
      <c r="K108" s="370"/>
      <c r="L108" s="370"/>
    </row>
    <row r="109" spans="1:12" x14ac:dyDescent="0.25">
      <c r="A109" s="370"/>
      <c r="B109" s="369">
        <v>42376</v>
      </c>
      <c r="C109" s="391">
        <v>50</v>
      </c>
      <c r="D109" s="390">
        <v>99.13</v>
      </c>
      <c r="E109" s="390">
        <v>96.25</v>
      </c>
      <c r="F109" s="371">
        <f t="shared" si="34"/>
        <v>-143.99999999999977</v>
      </c>
      <c r="G109" s="371">
        <f t="shared" si="35"/>
        <v>4956.5</v>
      </c>
      <c r="H109" s="372">
        <f t="shared" si="36"/>
        <v>-2.9052759003328918E-2</v>
      </c>
      <c r="I109" s="715"/>
      <c r="J109" s="370"/>
      <c r="K109" s="370"/>
      <c r="L109" s="370"/>
    </row>
    <row r="110" spans="1:12" x14ac:dyDescent="0.25">
      <c r="A110" s="370"/>
      <c r="B110" s="369">
        <v>42402</v>
      </c>
      <c r="C110" s="391">
        <v>60</v>
      </c>
      <c r="D110" s="390">
        <v>96.37</v>
      </c>
      <c r="E110" s="390">
        <v>82.71</v>
      </c>
      <c r="F110" s="371">
        <f t="shared" si="34"/>
        <v>-819.60000000000059</v>
      </c>
      <c r="G110" s="371">
        <f t="shared" si="35"/>
        <v>5782.2000000000007</v>
      </c>
      <c r="H110" s="372">
        <f t="shared" si="36"/>
        <v>-0.14174535643872585</v>
      </c>
      <c r="I110" s="715"/>
      <c r="J110" s="370"/>
      <c r="K110" s="370"/>
      <c r="L110" s="370"/>
    </row>
    <row r="111" spans="1:12" x14ac:dyDescent="0.25">
      <c r="A111" s="370"/>
      <c r="B111" s="369">
        <v>42409</v>
      </c>
      <c r="C111" s="391">
        <v>50</v>
      </c>
      <c r="D111" s="390">
        <v>98.03</v>
      </c>
      <c r="E111" s="390">
        <v>87.25</v>
      </c>
      <c r="F111" s="371">
        <f t="shared" si="34"/>
        <v>-539</v>
      </c>
      <c r="G111" s="371">
        <f t="shared" si="35"/>
        <v>4901.5</v>
      </c>
      <c r="H111" s="372">
        <f t="shared" si="36"/>
        <v>-0.10996633683566256</v>
      </c>
      <c r="I111" s="715"/>
      <c r="J111" s="370"/>
      <c r="K111" s="370"/>
      <c r="L111" s="370"/>
    </row>
    <row r="112" spans="1:12" x14ac:dyDescent="0.25">
      <c r="A112" s="370"/>
      <c r="B112" s="369">
        <v>42426</v>
      </c>
      <c r="C112" s="391">
        <v>70</v>
      </c>
      <c r="D112" s="390">
        <v>95.18</v>
      </c>
      <c r="E112" s="390">
        <v>88.03</v>
      </c>
      <c r="F112" s="371">
        <f t="shared" si="34"/>
        <v>-500.5000000000004</v>
      </c>
      <c r="G112" s="371">
        <f t="shared" si="35"/>
        <v>6662.6</v>
      </c>
      <c r="H112" s="373">
        <f t="shared" si="36"/>
        <v>-7.5120823702458553E-2</v>
      </c>
      <c r="I112" s="716"/>
      <c r="J112" s="370"/>
      <c r="K112" s="370"/>
      <c r="L112" s="370"/>
    </row>
    <row r="113" spans="1:12" x14ac:dyDescent="0.25">
      <c r="A113" s="370"/>
      <c r="B113" s="369">
        <v>42430</v>
      </c>
      <c r="C113" s="391">
        <v>70</v>
      </c>
      <c r="D113" s="390">
        <v>95.18</v>
      </c>
      <c r="E113" s="390">
        <v>89.69</v>
      </c>
      <c r="F113" s="371">
        <f t="shared" si="34"/>
        <v>-384.30000000000064</v>
      </c>
      <c r="G113" s="371">
        <f t="shared" si="35"/>
        <v>6662.6</v>
      </c>
      <c r="H113" s="373">
        <f t="shared" si="36"/>
        <v>-5.7680184912796896E-2</v>
      </c>
      <c r="I113" s="716"/>
      <c r="J113" s="370"/>
      <c r="K113" s="370"/>
      <c r="L113" s="370"/>
    </row>
    <row r="114" spans="1:12" x14ac:dyDescent="0.25">
      <c r="A114" s="370"/>
      <c r="B114" s="369">
        <v>42431</v>
      </c>
      <c r="C114" s="391">
        <v>70</v>
      </c>
      <c r="D114" s="390">
        <v>95.18</v>
      </c>
      <c r="E114" s="390">
        <v>88.8</v>
      </c>
      <c r="F114" s="371">
        <f t="shared" si="34"/>
        <v>-446.6000000000007</v>
      </c>
      <c r="G114" s="371">
        <f t="shared" si="35"/>
        <v>6662.6</v>
      </c>
      <c r="H114" s="373">
        <f t="shared" si="36"/>
        <v>-6.7030888842193839E-2</v>
      </c>
      <c r="I114" s="716"/>
      <c r="J114" s="370"/>
      <c r="K114" s="370"/>
      <c r="L114" s="370"/>
    </row>
    <row r="115" spans="1:12" x14ac:dyDescent="0.25">
      <c r="A115" s="370"/>
      <c r="B115" s="369">
        <v>42445</v>
      </c>
      <c r="C115" s="391">
        <v>70</v>
      </c>
      <c r="D115" s="390">
        <v>95.176000000000002</v>
      </c>
      <c r="E115" s="390">
        <v>90.28</v>
      </c>
      <c r="F115" s="371">
        <f>C115*(E115-D115)</f>
        <v>-342.72</v>
      </c>
      <c r="G115" s="371">
        <f t="shared" si="35"/>
        <v>6662.32</v>
      </c>
      <c r="H115" s="373">
        <f t="shared" si="36"/>
        <v>-5.1441539884004378E-2</v>
      </c>
      <c r="I115" s="716"/>
      <c r="J115" s="370"/>
      <c r="K115" s="370"/>
      <c r="L115" s="370"/>
    </row>
    <row r="116" spans="1:12" x14ac:dyDescent="0.25">
      <c r="A116" s="370"/>
      <c r="B116" s="369">
        <v>42447</v>
      </c>
      <c r="C116" s="391">
        <v>50</v>
      </c>
      <c r="D116" s="390">
        <v>97.010999999999996</v>
      </c>
      <c r="E116" s="390">
        <v>90.59</v>
      </c>
      <c r="F116" s="371">
        <f>C116*(E116-D116)</f>
        <v>-321.04999999999961</v>
      </c>
      <c r="G116" s="371">
        <f t="shared" si="35"/>
        <v>4850.55</v>
      </c>
      <c r="H116" s="373">
        <f t="shared" si="36"/>
        <v>-6.6188370390986517E-2</v>
      </c>
      <c r="I116" s="716"/>
      <c r="J116" s="370"/>
      <c r="K116" s="370"/>
      <c r="L116" s="370"/>
    </row>
    <row r="117" spans="1:12" x14ac:dyDescent="0.25">
      <c r="A117" s="370"/>
      <c r="B117" s="369">
        <v>42452</v>
      </c>
      <c r="C117" s="391">
        <v>50</v>
      </c>
      <c r="D117" s="390">
        <v>97.010999999999996</v>
      </c>
      <c r="E117" s="390">
        <v>93.72</v>
      </c>
      <c r="F117" s="371">
        <f>C117*(E117-D117)</f>
        <v>-164.54999999999984</v>
      </c>
      <c r="G117" s="371">
        <f t="shared" si="35"/>
        <v>4850.55</v>
      </c>
      <c r="H117" s="373">
        <f t="shared" si="36"/>
        <v>-3.3923988001360636E-2</v>
      </c>
      <c r="I117" s="716"/>
      <c r="J117" s="370"/>
      <c r="K117" s="370"/>
      <c r="L117" s="370"/>
    </row>
    <row r="118" spans="1:12" x14ac:dyDescent="0.25">
      <c r="A118" s="370"/>
      <c r="B118" s="369">
        <v>42459</v>
      </c>
      <c r="C118" s="391">
        <v>50</v>
      </c>
      <c r="D118" s="390">
        <v>96.409000000000006</v>
      </c>
      <c r="E118" s="390">
        <v>91.97</v>
      </c>
      <c r="F118" s="371">
        <f t="shared" ref="F118:F181" si="37">C118*(E118-D118)</f>
        <v>-221.95000000000036</v>
      </c>
      <c r="G118" s="371">
        <f t="shared" si="35"/>
        <v>4820.4500000000007</v>
      </c>
      <c r="H118" s="373">
        <f t="shared" si="36"/>
        <v>-4.604341918285644E-2</v>
      </c>
      <c r="I118" s="716" t="s">
        <v>185</v>
      </c>
      <c r="J118" s="370"/>
      <c r="K118" s="370"/>
      <c r="L118" s="370"/>
    </row>
    <row r="119" spans="1:12" x14ac:dyDescent="0.25">
      <c r="A119" s="370"/>
      <c r="B119" s="369">
        <v>42469</v>
      </c>
      <c r="C119" s="391">
        <v>50</v>
      </c>
      <c r="D119" s="390">
        <v>96.409000000000006</v>
      </c>
      <c r="E119" s="390">
        <v>96.09</v>
      </c>
      <c r="F119" s="371">
        <f t="shared" si="37"/>
        <v>-15.950000000000131</v>
      </c>
      <c r="G119" s="371">
        <f t="shared" si="35"/>
        <v>4820.4500000000007</v>
      </c>
      <c r="H119" s="373">
        <f t="shared" si="36"/>
        <v>-3.3088197160016449E-3</v>
      </c>
      <c r="I119" s="716"/>
      <c r="J119" s="370"/>
      <c r="K119" s="370"/>
      <c r="L119" s="370"/>
    </row>
    <row r="120" spans="1:12" x14ac:dyDescent="0.25">
      <c r="A120" s="370"/>
      <c r="B120" s="369">
        <v>42475</v>
      </c>
      <c r="C120" s="391">
        <v>50</v>
      </c>
      <c r="D120" s="390">
        <v>96.409000000000006</v>
      </c>
      <c r="E120" s="390">
        <v>98.29</v>
      </c>
      <c r="F120" s="371">
        <f t="shared" si="37"/>
        <v>94.050000000000011</v>
      </c>
      <c r="G120" s="371">
        <f t="shared" si="35"/>
        <v>4820.4500000000007</v>
      </c>
      <c r="H120" s="373">
        <f t="shared" si="36"/>
        <v>1.951062660125092E-2</v>
      </c>
      <c r="I120" s="716"/>
      <c r="J120" s="370"/>
      <c r="K120" s="370"/>
      <c r="L120" s="370"/>
    </row>
    <row r="121" spans="1:12" x14ac:dyDescent="0.25">
      <c r="A121" s="370"/>
      <c r="B121" s="369">
        <v>42478</v>
      </c>
      <c r="C121" s="391">
        <v>25</v>
      </c>
      <c r="D121" s="390">
        <v>93.37</v>
      </c>
      <c r="E121" s="390">
        <v>99.2</v>
      </c>
      <c r="F121" s="371">
        <f t="shared" si="37"/>
        <v>145.74999999999994</v>
      </c>
      <c r="G121" s="371">
        <f t="shared" si="35"/>
        <v>2334.25</v>
      </c>
      <c r="H121" s="373">
        <f t="shared" si="36"/>
        <v>6.2439755810217393E-2</v>
      </c>
      <c r="I121" s="716"/>
      <c r="J121" s="370"/>
      <c r="K121" s="370"/>
      <c r="L121" s="370"/>
    </row>
    <row r="122" spans="1:12" x14ac:dyDescent="0.25">
      <c r="A122" s="370"/>
      <c r="B122" s="369">
        <v>42488</v>
      </c>
      <c r="C122" s="391">
        <v>50</v>
      </c>
      <c r="D122" s="390">
        <v>95.81</v>
      </c>
      <c r="E122" s="390">
        <v>97</v>
      </c>
      <c r="F122" s="371">
        <f t="shared" si="37"/>
        <v>59.499999999999886</v>
      </c>
      <c r="G122" s="371">
        <f t="shared" si="35"/>
        <v>4790.5</v>
      </c>
      <c r="H122" s="373">
        <f t="shared" si="36"/>
        <v>1.2420415405490009E-2</v>
      </c>
      <c r="I122" s="716"/>
      <c r="J122" s="370"/>
      <c r="K122" s="370"/>
      <c r="L122" s="370"/>
    </row>
    <row r="123" spans="1:12" x14ac:dyDescent="0.25">
      <c r="A123" s="370"/>
      <c r="B123" s="369">
        <v>42489</v>
      </c>
      <c r="C123" s="391">
        <v>70</v>
      </c>
      <c r="D123" s="390">
        <v>94.247</v>
      </c>
      <c r="E123" s="371">
        <v>88.21</v>
      </c>
      <c r="F123" s="371">
        <f t="shared" si="37"/>
        <v>-422.59000000000043</v>
      </c>
      <c r="G123" s="371">
        <f t="shared" si="35"/>
        <v>6597.29</v>
      </c>
      <c r="H123" s="373">
        <f t="shared" si="36"/>
        <v>-6.4055089286661704E-2</v>
      </c>
      <c r="I123" s="716"/>
      <c r="J123" s="370"/>
      <c r="K123" s="370"/>
      <c r="L123" s="370"/>
    </row>
    <row r="124" spans="1:12" x14ac:dyDescent="0.25">
      <c r="A124" s="370"/>
      <c r="B124" s="369">
        <v>42489</v>
      </c>
      <c r="C124" s="370">
        <v>100</v>
      </c>
      <c r="D124" s="371">
        <v>92.822999999999993</v>
      </c>
      <c r="E124" s="371">
        <v>88.21</v>
      </c>
      <c r="F124" s="371">
        <f t="shared" si="37"/>
        <v>-461.29999999999995</v>
      </c>
      <c r="G124" s="371">
        <f t="shared" si="35"/>
        <v>9282.2999999999993</v>
      </c>
      <c r="H124" s="373">
        <f t="shared" si="36"/>
        <v>-4.9696734645508119E-2</v>
      </c>
      <c r="I124" s="716"/>
      <c r="J124" s="370"/>
      <c r="K124" s="370"/>
      <c r="L124" s="370"/>
    </row>
    <row r="125" spans="1:12" x14ac:dyDescent="0.25">
      <c r="A125" s="370"/>
      <c r="B125" s="369">
        <v>42498</v>
      </c>
      <c r="C125" s="370">
        <v>100</v>
      </c>
      <c r="D125" s="371">
        <v>92.822999999999993</v>
      </c>
      <c r="E125" s="371">
        <v>84.68</v>
      </c>
      <c r="F125" s="371">
        <f t="shared" si="37"/>
        <v>-814.29999999999859</v>
      </c>
      <c r="G125" s="371">
        <f t="shared" si="35"/>
        <v>9282.2999999999993</v>
      </c>
      <c r="H125" s="373">
        <f t="shared" si="36"/>
        <v>-8.7726102366870146E-2</v>
      </c>
      <c r="I125" s="716"/>
      <c r="J125" s="370"/>
      <c r="K125" s="370"/>
      <c r="L125" s="370"/>
    </row>
    <row r="126" spans="1:12" x14ac:dyDescent="0.25">
      <c r="A126" s="370"/>
      <c r="B126" s="369">
        <v>42502</v>
      </c>
      <c r="C126" s="370">
        <v>100</v>
      </c>
      <c r="D126" s="371">
        <v>92.822999999999993</v>
      </c>
      <c r="E126" s="371">
        <v>82.77</v>
      </c>
      <c r="F126" s="371">
        <f t="shared" si="37"/>
        <v>-1005.2999999999997</v>
      </c>
      <c r="G126" s="371">
        <f t="shared" si="35"/>
        <v>9282.2999999999993</v>
      </c>
      <c r="H126" s="373">
        <f t="shared" si="36"/>
        <v>-0.10830289906596423</v>
      </c>
      <c r="I126" s="716"/>
      <c r="J126" s="370"/>
      <c r="K126" s="370"/>
      <c r="L126" s="370"/>
    </row>
    <row r="127" spans="1:12" x14ac:dyDescent="0.25">
      <c r="A127" s="370"/>
      <c r="B127" s="369">
        <v>42514</v>
      </c>
      <c r="C127" s="370">
        <v>100</v>
      </c>
      <c r="D127" s="371">
        <v>92.82</v>
      </c>
      <c r="E127" s="371">
        <v>86.22</v>
      </c>
      <c r="F127" s="371">
        <f t="shared" si="37"/>
        <v>-659.99999999999943</v>
      </c>
      <c r="G127" s="371">
        <f t="shared" si="35"/>
        <v>9282</v>
      </c>
      <c r="H127" s="373">
        <f t="shared" si="36"/>
        <v>-7.1105365223012224E-2</v>
      </c>
      <c r="I127" s="716"/>
      <c r="J127" s="370"/>
      <c r="K127" s="370"/>
      <c r="L127" s="370"/>
    </row>
    <row r="128" spans="1:12" x14ac:dyDescent="0.25">
      <c r="A128" s="370"/>
      <c r="B128" s="369">
        <v>42527</v>
      </c>
      <c r="C128" s="370">
        <v>100</v>
      </c>
      <c r="D128" s="371">
        <v>92.822999999999993</v>
      </c>
      <c r="E128" s="371">
        <v>87.6</v>
      </c>
      <c r="F128" s="371">
        <f t="shared" si="37"/>
        <v>-522.29999999999995</v>
      </c>
      <c r="G128" s="371">
        <f t="shared" si="35"/>
        <v>9282.2999999999993</v>
      </c>
      <c r="H128" s="373">
        <f t="shared" si="36"/>
        <v>-5.6268381758831316E-2</v>
      </c>
      <c r="I128" s="716"/>
      <c r="J128" s="370"/>
      <c r="K128" s="370"/>
      <c r="L128" s="370"/>
    </row>
    <row r="129" spans="1:12" x14ac:dyDescent="0.25">
      <c r="A129" s="370"/>
      <c r="B129" s="369">
        <v>42535</v>
      </c>
      <c r="C129" s="370">
        <v>100</v>
      </c>
      <c r="D129" s="371">
        <v>92.82</v>
      </c>
      <c r="E129" s="371">
        <v>83.57</v>
      </c>
      <c r="F129" s="371">
        <f t="shared" si="37"/>
        <v>-925</v>
      </c>
      <c r="G129" s="371">
        <f t="shared" si="35"/>
        <v>9282</v>
      </c>
      <c r="H129" s="373">
        <f t="shared" si="36"/>
        <v>-9.965524671407025E-2</v>
      </c>
      <c r="I129" s="453">
        <v>88.5</v>
      </c>
      <c r="J129" s="370"/>
      <c r="K129" s="370"/>
      <c r="L129" s="370"/>
    </row>
    <row r="130" spans="1:12" x14ac:dyDescent="0.25">
      <c r="A130" s="370"/>
      <c r="B130" s="369">
        <v>42542</v>
      </c>
      <c r="C130" s="370">
        <v>100</v>
      </c>
      <c r="D130" s="371">
        <v>92.82</v>
      </c>
      <c r="E130" s="371">
        <v>81.790000000000006</v>
      </c>
      <c r="F130" s="371">
        <f t="shared" si="37"/>
        <v>-1102.9999999999986</v>
      </c>
      <c r="G130" s="371">
        <f t="shared" si="35"/>
        <v>9282</v>
      </c>
      <c r="H130" s="373">
        <f t="shared" si="36"/>
        <v>-0.11883214824391282</v>
      </c>
      <c r="I130" s="716"/>
      <c r="J130" s="370"/>
      <c r="K130" s="370"/>
      <c r="L130" s="370"/>
    </row>
    <row r="131" spans="1:12" x14ac:dyDescent="0.25">
      <c r="A131" s="370"/>
      <c r="B131" s="369">
        <v>42545</v>
      </c>
      <c r="C131" s="370">
        <v>200</v>
      </c>
      <c r="D131" s="371">
        <v>86.647000000000006</v>
      </c>
      <c r="E131" s="371">
        <v>80.47</v>
      </c>
      <c r="F131" s="371">
        <f t="shared" si="37"/>
        <v>-1235.4000000000015</v>
      </c>
      <c r="G131" s="371">
        <f t="shared" si="35"/>
        <v>17329.400000000001</v>
      </c>
      <c r="H131" s="373">
        <f t="shared" si="36"/>
        <v>-7.1289254099968918E-2</v>
      </c>
      <c r="I131" s="716"/>
      <c r="J131" s="370"/>
      <c r="K131" s="370"/>
      <c r="L131" s="370"/>
    </row>
    <row r="132" spans="1:12" x14ac:dyDescent="0.25">
      <c r="A132" s="370"/>
      <c r="B132" s="369">
        <v>42548</v>
      </c>
      <c r="C132" s="370">
        <v>200</v>
      </c>
      <c r="D132" s="371">
        <v>86.647000000000006</v>
      </c>
      <c r="E132" s="371">
        <v>78.25</v>
      </c>
      <c r="F132" s="371">
        <f t="shared" si="37"/>
        <v>-1679.400000000001</v>
      </c>
      <c r="G132" s="371">
        <f t="shared" si="35"/>
        <v>17329.400000000001</v>
      </c>
      <c r="H132" s="373">
        <f t="shared" si="36"/>
        <v>-9.6910452756587134E-2</v>
      </c>
      <c r="I132" s="716"/>
      <c r="J132" s="370"/>
      <c r="K132" s="370"/>
      <c r="L132" s="370"/>
    </row>
    <row r="133" spans="1:12" x14ac:dyDescent="0.25">
      <c r="A133" s="370"/>
      <c r="B133" s="369">
        <v>42549</v>
      </c>
      <c r="C133" s="370">
        <v>200</v>
      </c>
      <c r="D133" s="371">
        <v>86.647000000000006</v>
      </c>
      <c r="E133" s="371">
        <v>82.31</v>
      </c>
      <c r="F133" s="371">
        <f t="shared" si="37"/>
        <v>-867.40000000000066</v>
      </c>
      <c r="G133" s="371">
        <f t="shared" si="35"/>
        <v>17329.400000000001</v>
      </c>
      <c r="H133" s="373">
        <f t="shared" si="36"/>
        <v>-5.0053666024213218E-2</v>
      </c>
      <c r="I133" s="716"/>
      <c r="J133" s="370"/>
      <c r="K133" s="370"/>
      <c r="L133" s="370"/>
    </row>
    <row r="134" spans="1:12" x14ac:dyDescent="0.25">
      <c r="A134" s="370"/>
      <c r="B134" s="369">
        <v>42550</v>
      </c>
      <c r="C134" s="370">
        <v>200</v>
      </c>
      <c r="D134" s="371">
        <v>86.411500000000004</v>
      </c>
      <c r="E134" s="371">
        <v>82.27</v>
      </c>
      <c r="F134" s="371">
        <f t="shared" si="37"/>
        <v>-828.30000000000155</v>
      </c>
      <c r="G134" s="371">
        <f t="shared" si="35"/>
        <v>17282.3</v>
      </c>
      <c r="H134" s="373">
        <f t="shared" si="36"/>
        <v>-4.7927648519005078E-2</v>
      </c>
      <c r="I134" s="716" t="s">
        <v>185</v>
      </c>
      <c r="J134" s="370"/>
      <c r="K134" s="370"/>
      <c r="L134" s="370"/>
    </row>
    <row r="135" spans="1:12" x14ac:dyDescent="0.25">
      <c r="A135" s="370"/>
      <c r="B135" s="369">
        <v>42552</v>
      </c>
      <c r="C135" s="370">
        <v>100</v>
      </c>
      <c r="D135" s="371">
        <v>89.084800000000001</v>
      </c>
      <c r="E135" s="371">
        <v>84.86</v>
      </c>
      <c r="F135" s="371">
        <f t="shared" si="37"/>
        <v>-422.48000000000019</v>
      </c>
      <c r="G135" s="371">
        <f t="shared" si="35"/>
        <v>8908.48</v>
      </c>
      <c r="H135" s="373">
        <f t="shared" si="36"/>
        <v>-4.7424476453895636E-2</v>
      </c>
      <c r="I135" s="716"/>
      <c r="J135" s="370"/>
      <c r="K135" s="370"/>
      <c r="L135" s="370"/>
    </row>
    <row r="136" spans="1:12" x14ac:dyDescent="0.25">
      <c r="A136" s="370"/>
      <c r="B136" s="369">
        <v>42556</v>
      </c>
      <c r="C136" s="370">
        <v>100</v>
      </c>
      <c r="D136" s="371">
        <v>89.084800000000001</v>
      </c>
      <c r="E136" s="371">
        <v>83.89</v>
      </c>
      <c r="F136" s="371">
        <f t="shared" si="37"/>
        <v>-519.48</v>
      </c>
      <c r="G136" s="371">
        <f t="shared" si="35"/>
        <v>8908.48</v>
      </c>
      <c r="H136" s="373">
        <f t="shared" si="36"/>
        <v>-5.8312978196055902E-2</v>
      </c>
      <c r="I136" s="716"/>
      <c r="J136" s="370"/>
      <c r="K136" s="370"/>
      <c r="L136" s="370"/>
    </row>
    <row r="137" spans="1:12" x14ac:dyDescent="0.25">
      <c r="A137" s="370"/>
      <c r="B137" s="369">
        <v>42559</v>
      </c>
      <c r="C137" s="370">
        <v>100</v>
      </c>
      <c r="D137" s="371">
        <v>89.084800000000001</v>
      </c>
      <c r="E137" s="371">
        <v>86.55</v>
      </c>
      <c r="F137" s="371">
        <f t="shared" si="37"/>
        <v>-253.48000000000042</v>
      </c>
      <c r="G137" s="371">
        <f t="shared" si="35"/>
        <v>8908.48</v>
      </c>
      <c r="H137" s="373">
        <f t="shared" si="36"/>
        <v>-2.8453787851575176E-2</v>
      </c>
      <c r="I137" s="716"/>
      <c r="J137" s="370"/>
      <c r="K137" s="370"/>
      <c r="L137" s="370"/>
    </row>
    <row r="138" spans="1:12" x14ac:dyDescent="0.25">
      <c r="A138" s="370"/>
      <c r="B138" s="369">
        <v>42569</v>
      </c>
      <c r="C138" s="370">
        <v>100</v>
      </c>
      <c r="D138" s="371">
        <v>89.084800000000001</v>
      </c>
      <c r="E138" s="371">
        <v>86.93</v>
      </c>
      <c r="F138" s="371">
        <f t="shared" si="37"/>
        <v>-215.47999999999945</v>
      </c>
      <c r="G138" s="371">
        <f t="shared" si="35"/>
        <v>8908.48</v>
      </c>
      <c r="H138" s="373">
        <f t="shared" si="36"/>
        <v>-2.4188189230934957E-2</v>
      </c>
      <c r="I138" s="716"/>
      <c r="J138" s="370"/>
      <c r="K138" s="370"/>
      <c r="L138" s="370"/>
    </row>
    <row r="139" spans="1:12" x14ac:dyDescent="0.25">
      <c r="A139" s="370"/>
      <c r="B139" s="369">
        <v>42570</v>
      </c>
      <c r="C139" s="370">
        <v>100</v>
      </c>
      <c r="D139" s="371">
        <v>89.084800000000001</v>
      </c>
      <c r="E139" s="371">
        <v>85.44</v>
      </c>
      <c r="F139" s="371">
        <f t="shared" si="37"/>
        <v>-364.48000000000036</v>
      </c>
      <c r="G139" s="371">
        <f t="shared" si="35"/>
        <v>8908.48</v>
      </c>
      <c r="H139" s="373">
        <f t="shared" si="36"/>
        <v>-4.0913825927655488E-2</v>
      </c>
      <c r="I139" s="716"/>
      <c r="J139" s="370"/>
      <c r="K139" s="370"/>
      <c r="L139" s="370"/>
    </row>
    <row r="140" spans="1:12" x14ac:dyDescent="0.25">
      <c r="A140" s="370"/>
      <c r="B140" s="369">
        <v>42571</v>
      </c>
      <c r="C140" s="370">
        <v>100</v>
      </c>
      <c r="D140" s="371">
        <v>89.084800000000001</v>
      </c>
      <c r="E140" s="371">
        <v>86.66</v>
      </c>
      <c r="F140" s="371">
        <f t="shared" si="37"/>
        <v>-242.48000000000047</v>
      </c>
      <c r="G140" s="371">
        <f t="shared" si="35"/>
        <v>8908.48</v>
      </c>
      <c r="H140" s="373">
        <f t="shared" si="36"/>
        <v>-2.7219009303495148E-2</v>
      </c>
      <c r="I140" s="716"/>
      <c r="J140" s="370"/>
      <c r="K140" s="370"/>
      <c r="L140" s="370"/>
    </row>
    <row r="141" spans="1:12" x14ac:dyDescent="0.25">
      <c r="A141" s="370"/>
      <c r="B141" s="369">
        <v>42572</v>
      </c>
      <c r="C141" s="370">
        <v>100</v>
      </c>
      <c r="D141" s="371">
        <v>89.084800000000001</v>
      </c>
      <c r="E141" s="371">
        <v>87.24</v>
      </c>
      <c r="F141" s="371">
        <f t="shared" si="37"/>
        <v>-184.48000000000064</v>
      </c>
      <c r="G141" s="371">
        <f t="shared" si="35"/>
        <v>8908.48</v>
      </c>
      <c r="H141" s="373">
        <f t="shared" si="36"/>
        <v>-2.0708358777255003E-2</v>
      </c>
      <c r="I141" s="716"/>
      <c r="J141" s="370"/>
      <c r="K141" s="370"/>
      <c r="L141" s="370"/>
    </row>
    <row r="142" spans="1:12" x14ac:dyDescent="0.25">
      <c r="A142" s="370"/>
      <c r="B142" s="369">
        <v>42575</v>
      </c>
      <c r="C142" s="370">
        <v>100</v>
      </c>
      <c r="D142" s="371">
        <v>89.084800000000001</v>
      </c>
      <c r="E142" s="371">
        <v>86.55</v>
      </c>
      <c r="F142" s="371">
        <f t="shared" si="37"/>
        <v>-253.48000000000042</v>
      </c>
      <c r="G142" s="371">
        <f t="shared" si="35"/>
        <v>8908.48</v>
      </c>
      <c r="H142" s="373">
        <f t="shared" si="36"/>
        <v>-2.8453787851575176E-2</v>
      </c>
      <c r="I142" s="717"/>
      <c r="J142" s="370"/>
      <c r="K142" s="370"/>
      <c r="L142" s="370"/>
    </row>
    <row r="143" spans="1:12" x14ac:dyDescent="0.25">
      <c r="A143" s="370"/>
      <c r="B143" s="369">
        <v>42576</v>
      </c>
      <c r="C143" s="370">
        <v>100</v>
      </c>
      <c r="D143" s="371">
        <v>89.084800000000001</v>
      </c>
      <c r="E143" s="371">
        <v>88.55</v>
      </c>
      <c r="F143" s="371">
        <f t="shared" si="37"/>
        <v>-53.480000000000416</v>
      </c>
      <c r="G143" s="371">
        <f t="shared" si="35"/>
        <v>8908.48</v>
      </c>
      <c r="H143" s="373">
        <f t="shared" si="36"/>
        <v>-6.0032687955746001E-3</v>
      </c>
      <c r="I143" s="716" t="s">
        <v>249</v>
      </c>
      <c r="J143" s="370"/>
      <c r="K143" s="370"/>
      <c r="L143" s="370"/>
    </row>
    <row r="144" spans="1:12" x14ac:dyDescent="0.25">
      <c r="A144" s="370"/>
      <c r="B144" s="369">
        <v>42577</v>
      </c>
      <c r="C144" s="370">
        <v>120</v>
      </c>
      <c r="D144" s="371">
        <v>87.677300000000002</v>
      </c>
      <c r="E144" s="371">
        <v>81.05</v>
      </c>
      <c r="F144" s="371">
        <f t="shared" si="37"/>
        <v>-795.27600000000064</v>
      </c>
      <c r="G144" s="371">
        <f t="shared" si="35"/>
        <v>10521.276</v>
      </c>
      <c r="H144" s="373">
        <f t="shared" si="36"/>
        <v>-7.5587409740035388E-2</v>
      </c>
      <c r="I144" s="716"/>
      <c r="J144" s="370"/>
      <c r="K144" s="370"/>
      <c r="L144" s="370"/>
    </row>
    <row r="145" spans="1:12" x14ac:dyDescent="0.25">
      <c r="A145" s="370"/>
      <c r="B145" s="369">
        <v>42580</v>
      </c>
      <c r="C145" s="370">
        <v>150</v>
      </c>
      <c r="D145" s="371">
        <v>86.017899999999997</v>
      </c>
      <c r="E145" s="371">
        <v>79.47</v>
      </c>
      <c r="F145" s="371">
        <f t="shared" si="37"/>
        <v>-982.18499999999972</v>
      </c>
      <c r="G145" s="371">
        <f t="shared" si="35"/>
        <v>12902.684999999999</v>
      </c>
      <c r="H145" s="373">
        <f t="shared" si="36"/>
        <v>-7.6122527985454172E-2</v>
      </c>
      <c r="I145" s="716"/>
      <c r="J145" s="370"/>
      <c r="K145" s="370"/>
      <c r="L145" s="370"/>
    </row>
    <row r="146" spans="1:12" x14ac:dyDescent="0.25">
      <c r="A146" s="370"/>
      <c r="B146" s="369">
        <v>42593</v>
      </c>
      <c r="C146" s="370">
        <v>150</v>
      </c>
      <c r="D146" s="371">
        <v>86.017899999999997</v>
      </c>
      <c r="E146" s="371">
        <v>78.900000000000006</v>
      </c>
      <c r="F146" s="371">
        <f t="shared" si="37"/>
        <v>-1067.6849999999988</v>
      </c>
      <c r="G146" s="371">
        <f t="shared" si="35"/>
        <v>12902.684999999999</v>
      </c>
      <c r="H146" s="373">
        <f t="shared" si="36"/>
        <v>-8.2749055719797765E-2</v>
      </c>
      <c r="I146" s="716"/>
      <c r="J146" s="370"/>
      <c r="K146" s="370"/>
      <c r="L146" s="370"/>
    </row>
    <row r="147" spans="1:12" x14ac:dyDescent="0.25">
      <c r="A147" s="370"/>
      <c r="B147" s="369">
        <v>42597</v>
      </c>
      <c r="C147" s="370">
        <v>150</v>
      </c>
      <c r="D147" s="371">
        <v>86.017899999999997</v>
      </c>
      <c r="E147" s="371">
        <v>79.650000000000006</v>
      </c>
      <c r="F147" s="371">
        <f t="shared" si="37"/>
        <v>-955.18499999999881</v>
      </c>
      <c r="G147" s="371">
        <f t="shared" si="35"/>
        <v>12902.684999999999</v>
      </c>
      <c r="H147" s="373">
        <f t="shared" si="36"/>
        <v>-7.4029940279871892E-2</v>
      </c>
      <c r="I147" s="716"/>
      <c r="J147" s="370"/>
      <c r="K147" s="370"/>
      <c r="L147" s="370"/>
    </row>
    <row r="148" spans="1:12" x14ac:dyDescent="0.25">
      <c r="A148" s="370"/>
      <c r="B148" s="369">
        <v>42599</v>
      </c>
      <c r="C148" s="370">
        <v>150</v>
      </c>
      <c r="D148" s="371">
        <v>86.017899999999997</v>
      </c>
      <c r="E148" s="371">
        <v>80.7</v>
      </c>
      <c r="F148" s="371">
        <f t="shared" si="37"/>
        <v>-797.68499999999915</v>
      </c>
      <c r="G148" s="371">
        <f t="shared" si="35"/>
        <v>12902.684999999999</v>
      </c>
      <c r="H148" s="373">
        <f t="shared" si="36"/>
        <v>-6.1823178663975693E-2</v>
      </c>
      <c r="I148" s="716"/>
      <c r="J148" s="370"/>
      <c r="K148" s="370"/>
      <c r="L148" s="370"/>
    </row>
    <row r="149" spans="1:12" x14ac:dyDescent="0.25">
      <c r="A149" s="370"/>
      <c r="B149" s="369">
        <v>42600</v>
      </c>
      <c r="C149" s="370">
        <v>150</v>
      </c>
      <c r="D149" s="371">
        <v>86.017899999999997</v>
      </c>
      <c r="E149" s="371">
        <v>80.59</v>
      </c>
      <c r="F149" s="371">
        <f t="shared" si="37"/>
        <v>-814.18499999999904</v>
      </c>
      <c r="G149" s="371">
        <f t="shared" si="35"/>
        <v>12902.684999999999</v>
      </c>
      <c r="H149" s="373">
        <f t="shared" si="36"/>
        <v>-6.3101982261831474E-2</v>
      </c>
      <c r="I149" s="716"/>
      <c r="J149" s="370"/>
      <c r="K149" s="370"/>
      <c r="L149" s="370"/>
    </row>
    <row r="150" spans="1:12" x14ac:dyDescent="0.25">
      <c r="A150" s="370"/>
      <c r="B150" s="369">
        <v>42601</v>
      </c>
      <c r="C150" s="370">
        <v>150</v>
      </c>
      <c r="D150" s="371">
        <v>86.017899999999997</v>
      </c>
      <c r="E150" s="371">
        <v>81</v>
      </c>
      <c r="F150" s="371">
        <f t="shared" si="37"/>
        <v>-752.6849999999996</v>
      </c>
      <c r="G150" s="371">
        <f t="shared" si="35"/>
        <v>12902.684999999999</v>
      </c>
      <c r="H150" s="373">
        <f t="shared" si="36"/>
        <v>-5.8335532488005375E-2</v>
      </c>
      <c r="I150" s="716"/>
      <c r="J150" s="370"/>
      <c r="K150" s="370"/>
      <c r="L150" s="370"/>
    </row>
    <row r="151" spans="1:12" x14ac:dyDescent="0.25">
      <c r="A151" s="370"/>
      <c r="B151" s="369">
        <v>42605</v>
      </c>
      <c r="C151" s="370">
        <v>150</v>
      </c>
      <c r="D151" s="371">
        <v>86.017899999999997</v>
      </c>
      <c r="E151" s="371">
        <v>81.47</v>
      </c>
      <c r="F151" s="371">
        <f t="shared" si="37"/>
        <v>-682.18499999999972</v>
      </c>
      <c r="G151" s="371">
        <f t="shared" si="35"/>
        <v>12902.684999999999</v>
      </c>
      <c r="H151" s="373">
        <f t="shared" si="36"/>
        <v>-5.2871553478985173E-2</v>
      </c>
      <c r="I151" s="716"/>
      <c r="J151" s="370"/>
      <c r="K151" s="370"/>
      <c r="L151" s="370"/>
    </row>
    <row r="152" spans="1:12" x14ac:dyDescent="0.25">
      <c r="A152" s="370"/>
      <c r="B152" s="369">
        <v>42606</v>
      </c>
      <c r="C152" s="370">
        <v>150</v>
      </c>
      <c r="D152" s="371">
        <v>86.017899999999997</v>
      </c>
      <c r="E152" s="371">
        <v>80.5</v>
      </c>
      <c r="F152" s="371">
        <f t="shared" si="37"/>
        <v>-827.6849999999996</v>
      </c>
      <c r="G152" s="371">
        <f t="shared" si="35"/>
        <v>12902.684999999999</v>
      </c>
      <c r="H152" s="373">
        <f t="shared" si="36"/>
        <v>-6.4148276114622621E-2</v>
      </c>
      <c r="I152" s="716"/>
      <c r="J152" s="370"/>
      <c r="K152" s="370"/>
      <c r="L152" s="370"/>
    </row>
    <row r="153" spans="1:12" x14ac:dyDescent="0.25">
      <c r="A153" s="370"/>
      <c r="B153" s="369">
        <v>42607</v>
      </c>
      <c r="C153" s="370">
        <v>150</v>
      </c>
      <c r="D153" s="371">
        <v>86.017899999999997</v>
      </c>
      <c r="E153" s="371">
        <v>80.08</v>
      </c>
      <c r="F153" s="371">
        <f t="shared" si="37"/>
        <v>-890.68499999999983</v>
      </c>
      <c r="G153" s="371">
        <f t="shared" si="35"/>
        <v>12902.684999999999</v>
      </c>
      <c r="H153" s="373">
        <f t="shared" si="36"/>
        <v>-6.9030980760981131E-2</v>
      </c>
      <c r="I153" s="716"/>
      <c r="J153" s="370"/>
      <c r="K153" s="370"/>
      <c r="L153" s="370"/>
    </row>
    <row r="154" spans="1:12" x14ac:dyDescent="0.25">
      <c r="A154" s="370"/>
      <c r="B154" s="369">
        <v>42608</v>
      </c>
      <c r="C154" s="370">
        <v>170</v>
      </c>
      <c r="D154" s="371">
        <v>85.225200000000001</v>
      </c>
      <c r="E154" s="371">
        <v>79.77</v>
      </c>
      <c r="F154" s="371">
        <f t="shared" si="37"/>
        <v>-927.38400000000081</v>
      </c>
      <c r="G154" s="371">
        <f t="shared" si="35"/>
        <v>14488.284</v>
      </c>
      <c r="H154" s="373">
        <f t="shared" si="36"/>
        <v>-6.4009236704636707E-2</v>
      </c>
      <c r="I154" s="716"/>
      <c r="J154" s="370"/>
      <c r="K154" s="370"/>
      <c r="L154" s="370"/>
    </row>
    <row r="155" spans="1:12" x14ac:dyDescent="0.25">
      <c r="A155" s="370"/>
      <c r="B155" s="369">
        <v>42609</v>
      </c>
      <c r="C155" s="370">
        <v>170</v>
      </c>
      <c r="D155" s="371">
        <v>85.225200000000001</v>
      </c>
      <c r="E155" s="371">
        <v>77.92</v>
      </c>
      <c r="F155" s="371">
        <f t="shared" si="37"/>
        <v>-1241.8839999999998</v>
      </c>
      <c r="G155" s="371">
        <f t="shared" si="35"/>
        <v>14488.284</v>
      </c>
      <c r="H155" s="373">
        <f t="shared" si="36"/>
        <v>-8.5716431290275633E-2</v>
      </c>
      <c r="I155" s="716"/>
      <c r="J155" s="370"/>
      <c r="K155" s="370"/>
      <c r="L155" s="370"/>
    </row>
    <row r="156" spans="1:12" x14ac:dyDescent="0.25">
      <c r="A156" s="370"/>
      <c r="B156" s="369">
        <v>42614</v>
      </c>
      <c r="C156" s="370">
        <v>200</v>
      </c>
      <c r="D156" s="371">
        <v>84.093400000000003</v>
      </c>
      <c r="E156" s="371">
        <v>77.42</v>
      </c>
      <c r="F156" s="371">
        <f t="shared" si="37"/>
        <v>-1334.6800000000003</v>
      </c>
      <c r="G156" s="371">
        <f t="shared" si="35"/>
        <v>16818.68</v>
      </c>
      <c r="H156" s="373">
        <f t="shared" si="36"/>
        <v>-7.9357000668304534E-2</v>
      </c>
      <c r="I156" s="716"/>
      <c r="J156" s="370"/>
      <c r="K156" s="370"/>
      <c r="L156" s="370"/>
    </row>
    <row r="157" spans="1:12" x14ac:dyDescent="0.25">
      <c r="A157" s="370"/>
      <c r="B157" s="369">
        <v>42615</v>
      </c>
      <c r="C157" s="370">
        <v>200</v>
      </c>
      <c r="D157" s="371">
        <v>84.093400000000003</v>
      </c>
      <c r="E157" s="371">
        <v>76.89</v>
      </c>
      <c r="F157" s="371">
        <f t="shared" si="37"/>
        <v>-1440.6800000000003</v>
      </c>
      <c r="G157" s="371">
        <f t="shared" si="35"/>
        <v>16818.68</v>
      </c>
      <c r="H157" s="373">
        <f t="shared" si="36"/>
        <v>-8.5659516680262685E-2</v>
      </c>
      <c r="I157" s="716"/>
      <c r="J157" s="370"/>
      <c r="K157" s="370"/>
      <c r="L157" s="370"/>
    </row>
    <row r="158" spans="1:12" x14ac:dyDescent="0.25">
      <c r="A158" s="370"/>
      <c r="B158" s="369">
        <v>42619</v>
      </c>
      <c r="C158" s="370">
        <v>200</v>
      </c>
      <c r="D158" s="371">
        <v>84.093400000000003</v>
      </c>
      <c r="E158" s="371">
        <v>77.88</v>
      </c>
      <c r="F158" s="371">
        <f t="shared" si="37"/>
        <v>-1242.6800000000014</v>
      </c>
      <c r="G158" s="371">
        <f t="shared" si="35"/>
        <v>16818.68</v>
      </c>
      <c r="H158" s="373">
        <f t="shared" si="36"/>
        <v>-7.3886892431510753E-2</v>
      </c>
      <c r="I158" s="716"/>
      <c r="J158" s="370"/>
      <c r="K158" s="370"/>
      <c r="L158" s="370"/>
    </row>
    <row r="159" spans="1:12" x14ac:dyDescent="0.25">
      <c r="A159" s="370"/>
      <c r="B159" s="369">
        <v>42632</v>
      </c>
      <c r="C159" s="370">
        <v>200</v>
      </c>
      <c r="D159" s="371">
        <v>84.093400000000003</v>
      </c>
      <c r="E159" s="371">
        <v>78.989999999999995</v>
      </c>
      <c r="F159" s="371">
        <f t="shared" si="37"/>
        <v>-1020.6800000000015</v>
      </c>
      <c r="G159" s="371">
        <f t="shared" si="35"/>
        <v>16818.68</v>
      </c>
      <c r="H159" s="373">
        <f t="shared" si="36"/>
        <v>-6.0687283425334304E-2</v>
      </c>
      <c r="I159" s="716"/>
      <c r="J159" s="370"/>
      <c r="K159" s="370"/>
      <c r="L159" s="370"/>
    </row>
    <row r="160" spans="1:12" x14ac:dyDescent="0.25">
      <c r="A160" s="370"/>
      <c r="B160" s="369">
        <v>42633</v>
      </c>
      <c r="C160" s="370">
        <v>200</v>
      </c>
      <c r="D160" s="371">
        <v>84.093400000000003</v>
      </c>
      <c r="E160" s="371">
        <v>81.78</v>
      </c>
      <c r="F160" s="371">
        <f t="shared" si="37"/>
        <v>-462.68000000000029</v>
      </c>
      <c r="G160" s="371">
        <f t="shared" si="35"/>
        <v>16818.68</v>
      </c>
      <c r="H160" s="373">
        <f t="shared" si="36"/>
        <v>-2.7509887815215003E-2</v>
      </c>
      <c r="I160" s="716"/>
      <c r="J160" s="370"/>
      <c r="K160" s="370"/>
      <c r="L160" s="370"/>
    </row>
    <row r="161" spans="1:12" x14ac:dyDescent="0.25">
      <c r="A161" s="370"/>
      <c r="B161" s="369">
        <v>42635</v>
      </c>
      <c r="C161" s="370">
        <v>200</v>
      </c>
      <c r="D161" s="371">
        <v>84.093400000000003</v>
      </c>
      <c r="E161" s="371">
        <v>81.52</v>
      </c>
      <c r="F161" s="371">
        <f t="shared" si="37"/>
        <v>-514.68000000000131</v>
      </c>
      <c r="G161" s="371">
        <f t="shared" si="35"/>
        <v>16818.68</v>
      </c>
      <c r="H161" s="373">
        <f t="shared" si="36"/>
        <v>-3.060168812296811E-2</v>
      </c>
      <c r="I161" s="716"/>
      <c r="J161" s="370"/>
      <c r="K161" s="370"/>
      <c r="L161" s="370"/>
    </row>
    <row r="162" spans="1:12" x14ac:dyDescent="0.25">
      <c r="A162" s="370"/>
      <c r="B162" s="369">
        <v>42640</v>
      </c>
      <c r="C162" s="370">
        <v>200</v>
      </c>
      <c r="D162" s="371">
        <v>84.093400000000003</v>
      </c>
      <c r="E162" s="371">
        <v>79.25</v>
      </c>
      <c r="F162" s="371">
        <f t="shared" si="37"/>
        <v>-968.68000000000052</v>
      </c>
      <c r="G162" s="371">
        <f t="shared" si="35"/>
        <v>16818.68</v>
      </c>
      <c r="H162" s="373">
        <f t="shared" si="36"/>
        <v>-5.7595483117581198E-2</v>
      </c>
      <c r="I162" s="716" t="s">
        <v>185</v>
      </c>
      <c r="J162" s="370"/>
      <c r="K162" s="370"/>
      <c r="L162" s="370"/>
    </row>
    <row r="163" spans="1:12" x14ac:dyDescent="0.25">
      <c r="A163" s="370"/>
      <c r="B163" s="369">
        <v>42643</v>
      </c>
      <c r="C163" s="370">
        <v>200</v>
      </c>
      <c r="D163" s="371">
        <v>83.623400000000004</v>
      </c>
      <c r="E163" s="371">
        <v>79.12</v>
      </c>
      <c r="F163" s="371">
        <f t="shared" si="37"/>
        <v>-900.67999999999984</v>
      </c>
      <c r="G163" s="371">
        <f t="shared" si="35"/>
        <v>16724.68</v>
      </c>
      <c r="H163" s="373">
        <f t="shared" si="36"/>
        <v>-5.3853347268826658E-2</v>
      </c>
      <c r="I163" s="371">
        <v>83</v>
      </c>
      <c r="J163" s="370"/>
      <c r="K163" s="370"/>
      <c r="L163" s="370"/>
    </row>
    <row r="164" spans="1:12" x14ac:dyDescent="0.25">
      <c r="A164" s="370"/>
      <c r="B164" s="369">
        <v>42646</v>
      </c>
      <c r="C164" s="370">
        <v>200</v>
      </c>
      <c r="D164" s="371">
        <v>83.518799999999999</v>
      </c>
      <c r="E164" s="371">
        <v>78.03</v>
      </c>
      <c r="F164" s="371">
        <f t="shared" si="37"/>
        <v>-1097.7599999999995</v>
      </c>
      <c r="G164" s="371">
        <f t="shared" si="35"/>
        <v>16703.759999999998</v>
      </c>
      <c r="H164" s="373">
        <f t="shared" si="36"/>
        <v>-6.5719335047917327E-2</v>
      </c>
      <c r="I164" s="716"/>
      <c r="J164" s="370"/>
      <c r="K164" s="370"/>
      <c r="L164" s="370"/>
    </row>
    <row r="165" spans="1:12" x14ac:dyDescent="0.25">
      <c r="A165" s="370"/>
      <c r="B165" s="369">
        <v>42649</v>
      </c>
      <c r="C165" s="370">
        <v>250</v>
      </c>
      <c r="D165" s="371">
        <v>82.090999999999994</v>
      </c>
      <c r="E165" s="371">
        <v>76.209999999999994</v>
      </c>
      <c r="F165" s="371">
        <f t="shared" si="37"/>
        <v>-1470.25</v>
      </c>
      <c r="G165" s="371">
        <f t="shared" si="35"/>
        <v>20522.75</v>
      </c>
      <c r="H165" s="373">
        <f t="shared" si="36"/>
        <v>-7.1640009258018542E-2</v>
      </c>
      <c r="I165" s="716"/>
      <c r="J165" s="370"/>
      <c r="K165" s="370"/>
      <c r="L165" s="370"/>
    </row>
    <row r="166" spans="1:12" x14ac:dyDescent="0.25">
      <c r="A166" s="370"/>
      <c r="B166" s="369">
        <v>42650</v>
      </c>
      <c r="C166" s="370">
        <v>250</v>
      </c>
      <c r="D166" s="371">
        <v>82.090999999999994</v>
      </c>
      <c r="E166" s="371">
        <v>75.239999999999995</v>
      </c>
      <c r="F166" s="371">
        <f t="shared" si="37"/>
        <v>-1712.7499999999998</v>
      </c>
      <c r="G166" s="371">
        <f t="shared" si="35"/>
        <v>20522.75</v>
      </c>
      <c r="H166" s="373">
        <f t="shared" si="36"/>
        <v>-8.3456164500371535E-2</v>
      </c>
      <c r="I166" s="716"/>
      <c r="J166" s="370"/>
      <c r="K166" s="370"/>
      <c r="L166" s="370"/>
    </row>
    <row r="167" spans="1:12" x14ac:dyDescent="0.25">
      <c r="A167" s="370"/>
      <c r="B167" s="369">
        <v>42661</v>
      </c>
      <c r="C167" s="370">
        <v>250</v>
      </c>
      <c r="D167" s="371">
        <v>82.090999999999994</v>
      </c>
      <c r="E167" s="371">
        <v>73.41</v>
      </c>
      <c r="F167" s="371">
        <f t="shared" si="37"/>
        <v>-2170.2499999999995</v>
      </c>
      <c r="G167" s="371">
        <f t="shared" si="35"/>
        <v>20522.75</v>
      </c>
      <c r="H167" s="373">
        <f t="shared" si="36"/>
        <v>-0.105748498617388</v>
      </c>
      <c r="I167" s="716"/>
      <c r="J167" s="370"/>
      <c r="K167" s="370"/>
      <c r="L167" s="370"/>
    </row>
    <row r="168" spans="1:12" x14ac:dyDescent="0.25">
      <c r="A168" s="370"/>
      <c r="B168" s="369">
        <v>42676</v>
      </c>
      <c r="C168" s="370">
        <v>250</v>
      </c>
      <c r="D168" s="371">
        <v>82.090999999999994</v>
      </c>
      <c r="E168" s="371">
        <v>72.510000000000005</v>
      </c>
      <c r="F168" s="371">
        <f t="shared" si="37"/>
        <v>-2395.2499999999973</v>
      </c>
      <c r="G168" s="371">
        <f t="shared" si="35"/>
        <v>20522.75</v>
      </c>
      <c r="H168" s="373">
        <f t="shared" si="36"/>
        <v>-0.11671194162575665</v>
      </c>
      <c r="I168" s="716"/>
      <c r="J168" s="370"/>
      <c r="K168" s="370"/>
      <c r="L168" s="370"/>
    </row>
    <row r="169" spans="1:12" x14ac:dyDescent="0.25">
      <c r="A169" s="370"/>
      <c r="B169" s="369">
        <v>42701</v>
      </c>
      <c r="C169" s="370">
        <v>200</v>
      </c>
      <c r="D169" s="371">
        <v>82.49</v>
      </c>
      <c r="E169" s="371">
        <v>75.44</v>
      </c>
      <c r="F169" s="371">
        <f t="shared" si="37"/>
        <v>-1409.9999999999995</v>
      </c>
      <c r="G169" s="371">
        <f t="shared" si="35"/>
        <v>16498</v>
      </c>
      <c r="H169" s="373">
        <f t="shared" si="36"/>
        <v>-8.5464904836949906E-2</v>
      </c>
      <c r="I169" s="502" t="s">
        <v>307</v>
      </c>
      <c r="J169" s="370"/>
      <c r="K169" s="370"/>
      <c r="L169" s="370"/>
    </row>
    <row r="170" spans="1:12" x14ac:dyDescent="0.25">
      <c r="A170" s="370"/>
      <c r="B170" s="369">
        <v>42704</v>
      </c>
      <c r="C170" s="370">
        <v>200</v>
      </c>
      <c r="D170" s="371">
        <v>82.49</v>
      </c>
      <c r="E170" s="371">
        <v>73.7</v>
      </c>
      <c r="F170" s="371">
        <f t="shared" si="37"/>
        <v>-1757.9999999999984</v>
      </c>
      <c r="G170" s="371">
        <f t="shared" ref="G170:G202" si="38">D170*C170</f>
        <v>16498</v>
      </c>
      <c r="H170" s="373">
        <f t="shared" ref="H170:H204" si="39">(E170-D170)/D170</f>
        <v>-0.10655837071160132</v>
      </c>
      <c r="I170" s="716"/>
      <c r="J170" s="370"/>
      <c r="K170" s="370"/>
      <c r="L170" s="370"/>
    </row>
    <row r="171" spans="1:12" x14ac:dyDescent="0.25">
      <c r="A171" s="370"/>
      <c r="B171" s="369">
        <v>42705</v>
      </c>
      <c r="C171" s="370">
        <v>250</v>
      </c>
      <c r="D171" s="371">
        <v>80.656000000000006</v>
      </c>
      <c r="E171" s="371">
        <v>72.84</v>
      </c>
      <c r="F171" s="371">
        <f t="shared" si="37"/>
        <v>-1954.0000000000007</v>
      </c>
      <c r="G171" s="371">
        <f t="shared" si="38"/>
        <v>20164</v>
      </c>
      <c r="H171" s="373">
        <f t="shared" si="39"/>
        <v>-9.6905375917476722E-2</v>
      </c>
      <c r="I171" s="716"/>
      <c r="J171" s="370"/>
      <c r="K171" s="370"/>
      <c r="L171" s="370"/>
    </row>
    <row r="172" spans="1:12" x14ac:dyDescent="0.25">
      <c r="A172" s="370"/>
      <c r="B172" s="369">
        <v>42717</v>
      </c>
      <c r="C172" s="370">
        <v>200</v>
      </c>
      <c r="D172" s="371">
        <v>82.125900000000001</v>
      </c>
      <c r="E172" s="371">
        <v>74.84</v>
      </c>
      <c r="F172" s="371">
        <f t="shared" si="37"/>
        <v>-1457.1799999999996</v>
      </c>
      <c r="G172" s="371">
        <f t="shared" si="38"/>
        <v>16425.18</v>
      </c>
      <c r="H172" s="373">
        <f t="shared" si="39"/>
        <v>-8.8716227158545574E-2</v>
      </c>
      <c r="I172" s="716"/>
      <c r="J172" s="370"/>
      <c r="K172" s="370"/>
      <c r="L172" s="370"/>
    </row>
    <row r="173" spans="1:12" x14ac:dyDescent="0.25">
      <c r="A173" s="370"/>
      <c r="B173" s="369">
        <v>42717</v>
      </c>
      <c r="C173" s="370">
        <v>150</v>
      </c>
      <c r="D173" s="371">
        <v>84.257800000000003</v>
      </c>
      <c r="E173" s="371">
        <v>74.84</v>
      </c>
      <c r="F173" s="371">
        <f t="shared" si="37"/>
        <v>-1412.67</v>
      </c>
      <c r="G173" s="371">
        <f t="shared" si="38"/>
        <v>12638.67</v>
      </c>
      <c r="H173" s="373">
        <f t="shared" si="39"/>
        <v>-0.11177362807953685</v>
      </c>
      <c r="I173" s="716"/>
      <c r="J173" s="370"/>
      <c r="K173" s="370"/>
      <c r="L173" s="370"/>
    </row>
    <row r="174" spans="1:12" x14ac:dyDescent="0.25">
      <c r="A174" s="370"/>
      <c r="B174" s="369">
        <v>42717</v>
      </c>
      <c r="C174" s="370">
        <v>200</v>
      </c>
      <c r="D174" s="371">
        <v>81.988399999999999</v>
      </c>
      <c r="E174" s="371">
        <v>74.84</v>
      </c>
      <c r="F174" s="371">
        <f t="shared" si="37"/>
        <v>-1429.6799999999989</v>
      </c>
      <c r="G174" s="371">
        <f t="shared" si="38"/>
        <v>16397.68</v>
      </c>
      <c r="H174" s="373">
        <f t="shared" si="39"/>
        <v>-8.718794366032262E-2</v>
      </c>
      <c r="I174" s="502" t="s">
        <v>319</v>
      </c>
      <c r="J174" s="370"/>
      <c r="K174" s="370"/>
      <c r="L174" s="370"/>
    </row>
    <row r="175" spans="1:12" x14ac:dyDescent="0.25">
      <c r="A175" s="370"/>
      <c r="B175" s="369">
        <v>42733</v>
      </c>
      <c r="C175" s="370">
        <v>250</v>
      </c>
      <c r="D175" s="371">
        <v>80.886700000000005</v>
      </c>
      <c r="E175" s="371">
        <v>72.08</v>
      </c>
      <c r="F175" s="371">
        <f t="shared" si="37"/>
        <v>-2201.6750000000015</v>
      </c>
      <c r="G175" s="371">
        <f t="shared" si="38"/>
        <v>20221.675000000003</v>
      </c>
      <c r="H175" s="373">
        <f t="shared" si="39"/>
        <v>-0.10887698472060309</v>
      </c>
      <c r="I175" s="716"/>
      <c r="J175" s="370"/>
      <c r="K175" s="370"/>
      <c r="L175" s="370"/>
    </row>
    <row r="176" spans="1:12" x14ac:dyDescent="0.25">
      <c r="A176" s="370"/>
      <c r="B176" s="369">
        <v>42734</v>
      </c>
      <c r="C176" s="370">
        <v>250</v>
      </c>
      <c r="D176" s="371">
        <v>79.536699999999996</v>
      </c>
      <c r="E176" s="371">
        <v>72.08</v>
      </c>
      <c r="F176" s="371">
        <f t="shared" si="37"/>
        <v>-1864.1749999999995</v>
      </c>
      <c r="G176" s="371">
        <f t="shared" si="38"/>
        <v>19884.174999999999</v>
      </c>
      <c r="H176" s="373">
        <f t="shared" si="39"/>
        <v>-9.3751689471652688E-2</v>
      </c>
      <c r="I176" s="716" t="s">
        <v>185</v>
      </c>
      <c r="J176" s="370"/>
      <c r="K176" s="370"/>
      <c r="L176" s="370"/>
    </row>
    <row r="177" spans="1:12" x14ac:dyDescent="0.25">
      <c r="A177" s="370"/>
      <c r="B177" s="369">
        <v>42738</v>
      </c>
      <c r="C177" s="370">
        <v>200</v>
      </c>
      <c r="D177" s="371">
        <v>81.026300000000006</v>
      </c>
      <c r="E177" s="371">
        <v>74.16</v>
      </c>
      <c r="F177" s="371">
        <f t="shared" si="37"/>
        <v>-1373.260000000002</v>
      </c>
      <c r="G177" s="371">
        <f t="shared" si="38"/>
        <v>16205.260000000002</v>
      </c>
      <c r="H177" s="373">
        <f t="shared" si="39"/>
        <v>-8.4741620930488121E-2</v>
      </c>
      <c r="I177" s="716"/>
      <c r="J177" s="370"/>
      <c r="K177" s="370"/>
      <c r="L177" s="370"/>
    </row>
    <row r="178" spans="1:12" x14ac:dyDescent="0.25">
      <c r="A178" s="370"/>
      <c r="B178" s="369">
        <v>42739</v>
      </c>
      <c r="C178" s="370">
        <v>200</v>
      </c>
      <c r="D178" s="371">
        <v>81.026300000000006</v>
      </c>
      <c r="E178" s="371">
        <v>76.38</v>
      </c>
      <c r="F178" s="371">
        <f t="shared" si="37"/>
        <v>-929.26000000000215</v>
      </c>
      <c r="G178" s="371">
        <f t="shared" si="38"/>
        <v>16205.260000000002</v>
      </c>
      <c r="H178" s="373">
        <f t="shared" si="39"/>
        <v>-5.7343109582938014E-2</v>
      </c>
      <c r="I178" s="716"/>
      <c r="J178" s="370"/>
      <c r="K178" s="370"/>
      <c r="L178" s="370"/>
    </row>
    <row r="179" spans="1:12" x14ac:dyDescent="0.25">
      <c r="A179" s="370"/>
      <c r="B179" s="369">
        <v>42746</v>
      </c>
      <c r="C179" s="370">
        <v>200</v>
      </c>
      <c r="D179" s="371">
        <v>81.026300000000006</v>
      </c>
      <c r="E179" s="371">
        <v>73.77</v>
      </c>
      <c r="F179" s="371">
        <f t="shared" si="37"/>
        <v>-1451.260000000002</v>
      </c>
      <c r="G179" s="371">
        <f t="shared" si="38"/>
        <v>16205.260000000002</v>
      </c>
      <c r="H179" s="373">
        <f t="shared" si="39"/>
        <v>-8.9554872923976653E-2</v>
      </c>
      <c r="I179" s="716"/>
      <c r="J179" s="370"/>
      <c r="K179" s="370"/>
      <c r="L179" s="370"/>
    </row>
    <row r="180" spans="1:12" x14ac:dyDescent="0.25">
      <c r="A180" s="370"/>
      <c r="B180" s="369">
        <v>43056</v>
      </c>
      <c r="C180" s="370">
        <v>250</v>
      </c>
      <c r="D180" s="371">
        <v>79.197000000000003</v>
      </c>
      <c r="E180" s="371">
        <v>71.91</v>
      </c>
      <c r="F180" s="371">
        <f t="shared" si="37"/>
        <v>-1821.7500000000016</v>
      </c>
      <c r="G180" s="371">
        <f t="shared" si="38"/>
        <v>19799.25</v>
      </c>
      <c r="H180" s="373">
        <f t="shared" si="39"/>
        <v>-9.2011061025038907E-2</v>
      </c>
      <c r="I180" s="502">
        <v>79</v>
      </c>
      <c r="J180" s="370"/>
      <c r="K180" s="370"/>
      <c r="L180" s="370"/>
    </row>
    <row r="181" spans="1:12" x14ac:dyDescent="0.25">
      <c r="A181" s="370" t="s">
        <v>349</v>
      </c>
      <c r="B181" s="369">
        <v>42755</v>
      </c>
      <c r="C181" s="370">
        <v>300</v>
      </c>
      <c r="D181" s="371">
        <v>77.794200000000004</v>
      </c>
      <c r="E181" s="371">
        <v>71.010000000000005</v>
      </c>
      <c r="F181" s="371">
        <f t="shared" si="37"/>
        <v>-2035.2599999999995</v>
      </c>
      <c r="G181" s="371">
        <f t="shared" si="38"/>
        <v>23338.260000000002</v>
      </c>
      <c r="H181" s="373">
        <f t="shared" si="39"/>
        <v>-8.7207015433027113E-2</v>
      </c>
      <c r="I181" s="716"/>
      <c r="J181" s="370"/>
      <c r="K181" s="370"/>
      <c r="L181" s="370"/>
    </row>
    <row r="182" spans="1:12" x14ac:dyDescent="0.25">
      <c r="A182" s="370" t="s">
        <v>369</v>
      </c>
      <c r="B182" s="369">
        <v>42760</v>
      </c>
      <c r="C182" s="370">
        <v>250</v>
      </c>
      <c r="D182" s="371">
        <v>78.997900000000001</v>
      </c>
      <c r="E182" s="371">
        <v>71.78</v>
      </c>
      <c r="F182" s="371">
        <f t="shared" ref="F182:F204" si="40">C182*(E182-D182)</f>
        <v>-1804.4750000000001</v>
      </c>
      <c r="G182" s="371">
        <f t="shared" si="38"/>
        <v>19749.474999999999</v>
      </c>
      <c r="H182" s="373">
        <f t="shared" si="39"/>
        <v>-9.1368251561117442E-2</v>
      </c>
      <c r="I182" s="502" t="s">
        <v>384</v>
      </c>
      <c r="J182" s="370"/>
      <c r="K182" s="370"/>
      <c r="L182" s="370"/>
    </row>
    <row r="183" spans="1:12" x14ac:dyDescent="0.25">
      <c r="A183" s="370" t="s">
        <v>369</v>
      </c>
      <c r="B183" s="369">
        <v>42762</v>
      </c>
      <c r="C183" s="370">
        <v>250</v>
      </c>
      <c r="D183" s="371">
        <v>78.997900000000001</v>
      </c>
      <c r="E183" s="371">
        <v>71.260000000000005</v>
      </c>
      <c r="F183" s="371">
        <f t="shared" si="40"/>
        <v>-1934.474999999999</v>
      </c>
      <c r="G183" s="371">
        <f t="shared" si="38"/>
        <v>19749.474999999999</v>
      </c>
      <c r="H183" s="373">
        <f t="shared" si="39"/>
        <v>-9.7950705018740952E-2</v>
      </c>
      <c r="I183" s="716"/>
      <c r="J183" s="370"/>
      <c r="K183" s="370"/>
      <c r="L183" s="370"/>
    </row>
    <row r="184" spans="1:12" x14ac:dyDescent="0.25">
      <c r="A184" s="370" t="s">
        <v>407</v>
      </c>
      <c r="B184" s="369">
        <v>42771</v>
      </c>
      <c r="C184" s="370">
        <v>250</v>
      </c>
      <c r="D184" s="371">
        <v>78.997900000000001</v>
      </c>
      <c r="E184" s="371">
        <v>72.34</v>
      </c>
      <c r="F184" s="371">
        <f t="shared" si="40"/>
        <v>-1664.4749999999995</v>
      </c>
      <c r="G184" s="371">
        <f t="shared" si="38"/>
        <v>19749.474999999999</v>
      </c>
      <c r="H184" s="373">
        <f t="shared" si="39"/>
        <v>-8.4279455529830516E-2</v>
      </c>
      <c r="I184" s="716"/>
      <c r="J184" s="370"/>
      <c r="K184" s="370"/>
      <c r="L184" s="370"/>
    </row>
    <row r="185" spans="1:12" x14ac:dyDescent="0.25">
      <c r="A185" s="370" t="s">
        <v>349</v>
      </c>
      <c r="B185" s="369">
        <v>42773</v>
      </c>
      <c r="C185" s="370">
        <v>300</v>
      </c>
      <c r="D185" s="371">
        <v>77.411100000000005</v>
      </c>
      <c r="E185" s="371">
        <v>73.13</v>
      </c>
      <c r="F185" s="371">
        <f t="shared" si="40"/>
        <v>-1284.3300000000027</v>
      </c>
      <c r="G185" s="371">
        <f t="shared" si="38"/>
        <v>23223.33</v>
      </c>
      <c r="H185" s="373">
        <f t="shared" si="39"/>
        <v>-5.5303438395785734E-2</v>
      </c>
      <c r="I185" s="716"/>
      <c r="J185" s="370"/>
      <c r="K185" s="370"/>
      <c r="L185" s="370"/>
    </row>
    <row r="186" spans="1:12" x14ac:dyDescent="0.25">
      <c r="A186" s="370" t="s">
        <v>420</v>
      </c>
      <c r="B186" s="369">
        <v>42774</v>
      </c>
      <c r="C186" s="370">
        <v>350</v>
      </c>
      <c r="D186" s="371">
        <v>76.020899999999997</v>
      </c>
      <c r="E186" s="371">
        <v>66</v>
      </c>
      <c r="F186" s="371">
        <f t="shared" si="40"/>
        <v>-3507.3149999999991</v>
      </c>
      <c r="G186" s="371">
        <f t="shared" si="38"/>
        <v>26607.314999999999</v>
      </c>
      <c r="H186" s="373">
        <f t="shared" si="39"/>
        <v>-0.13181769750160807</v>
      </c>
      <c r="I186" s="716"/>
      <c r="J186" s="370"/>
      <c r="K186" s="370"/>
      <c r="L186" s="370"/>
    </row>
    <row r="187" spans="1:12" x14ac:dyDescent="0.25">
      <c r="A187" s="370" t="s">
        <v>438</v>
      </c>
      <c r="B187" s="369">
        <v>42781</v>
      </c>
      <c r="C187" s="370">
        <v>300</v>
      </c>
      <c r="D187" s="371">
        <v>77.194699999999997</v>
      </c>
      <c r="E187" s="371">
        <v>68.98</v>
      </c>
      <c r="F187" s="371">
        <f t="shared" si="40"/>
        <v>-2464.409999999998</v>
      </c>
      <c r="G187" s="371">
        <f t="shared" si="38"/>
        <v>23158.41</v>
      </c>
      <c r="H187" s="373">
        <f t="shared" si="39"/>
        <v>-0.10641533680421057</v>
      </c>
      <c r="I187" s="716"/>
      <c r="J187" s="370"/>
      <c r="K187" s="370"/>
      <c r="L187" s="370"/>
    </row>
    <row r="188" spans="1:12" x14ac:dyDescent="0.25">
      <c r="A188" s="370" t="s">
        <v>441</v>
      </c>
      <c r="B188" s="369">
        <v>42781</v>
      </c>
      <c r="C188" s="370">
        <v>250</v>
      </c>
      <c r="D188" s="371">
        <v>78.683999999999997</v>
      </c>
      <c r="E188" s="371">
        <v>69.8</v>
      </c>
      <c r="F188" s="371">
        <f t="shared" si="40"/>
        <v>-2221</v>
      </c>
      <c r="G188" s="371">
        <f t="shared" si="38"/>
        <v>19671</v>
      </c>
      <c r="H188" s="373">
        <f t="shared" si="39"/>
        <v>-0.11290732550454985</v>
      </c>
      <c r="I188" s="716"/>
      <c r="J188" s="370"/>
      <c r="K188" s="370"/>
      <c r="L188" s="370"/>
    </row>
    <row r="189" spans="1:12" x14ac:dyDescent="0.25">
      <c r="A189" s="370" t="s">
        <v>455</v>
      </c>
      <c r="B189" s="369">
        <v>42788</v>
      </c>
      <c r="C189" s="370">
        <v>250</v>
      </c>
      <c r="D189" s="371">
        <v>78.683999999999997</v>
      </c>
      <c r="E189" s="371">
        <v>68.83</v>
      </c>
      <c r="F189" s="371">
        <f t="shared" si="40"/>
        <v>-2463.5</v>
      </c>
      <c r="G189" s="371">
        <f t="shared" si="38"/>
        <v>19671</v>
      </c>
      <c r="H189" s="373">
        <f t="shared" si="39"/>
        <v>-0.12523511768593359</v>
      </c>
      <c r="I189" s="716"/>
      <c r="J189" s="370"/>
      <c r="K189" s="370"/>
      <c r="L189" s="370"/>
    </row>
    <row r="190" spans="1:12" x14ac:dyDescent="0.25">
      <c r="A190" s="370" t="s">
        <v>407</v>
      </c>
      <c r="B190" s="369">
        <v>42789</v>
      </c>
      <c r="C190" s="370">
        <v>250</v>
      </c>
      <c r="D190" s="371">
        <v>78.683999999999997</v>
      </c>
      <c r="E190" s="371">
        <v>69.94</v>
      </c>
      <c r="F190" s="371">
        <f t="shared" si="40"/>
        <v>-2186</v>
      </c>
      <c r="G190" s="371">
        <f t="shared" si="38"/>
        <v>19671</v>
      </c>
      <c r="H190" s="373">
        <f t="shared" si="39"/>
        <v>-0.11112805652991714</v>
      </c>
      <c r="I190" s="716"/>
      <c r="J190" s="370"/>
      <c r="K190" s="370"/>
      <c r="L190" s="370"/>
    </row>
    <row r="191" spans="1:12" x14ac:dyDescent="0.25">
      <c r="A191" s="370">
        <v>250</v>
      </c>
      <c r="B191" s="369">
        <v>42808</v>
      </c>
      <c r="C191" s="370">
        <v>250</v>
      </c>
      <c r="D191" s="371">
        <v>78.683999999999997</v>
      </c>
      <c r="E191" s="371">
        <v>67.77</v>
      </c>
      <c r="F191" s="371">
        <f t="shared" si="40"/>
        <v>-2728.5000000000005</v>
      </c>
      <c r="G191" s="371">
        <f t="shared" si="38"/>
        <v>19671</v>
      </c>
      <c r="H191" s="373">
        <f t="shared" si="39"/>
        <v>-0.13870672563672415</v>
      </c>
      <c r="I191" s="716"/>
      <c r="J191" s="370"/>
      <c r="K191" s="370"/>
      <c r="L191" s="370"/>
    </row>
    <row r="192" spans="1:12" x14ac:dyDescent="0.25">
      <c r="A192" s="370">
        <v>250</v>
      </c>
      <c r="B192" s="369">
        <v>42809</v>
      </c>
      <c r="C192" s="370">
        <v>250</v>
      </c>
      <c r="D192" s="371">
        <v>78.683999999999997</v>
      </c>
      <c r="E192" s="371">
        <v>68.47</v>
      </c>
      <c r="F192" s="371">
        <f t="shared" si="40"/>
        <v>-2553.4999999999995</v>
      </c>
      <c r="G192" s="371">
        <f t="shared" si="38"/>
        <v>19671</v>
      </c>
      <c r="H192" s="373">
        <f t="shared" si="39"/>
        <v>-0.12981038076356055</v>
      </c>
      <c r="I192" s="716"/>
      <c r="J192" s="370">
        <v>43.23</v>
      </c>
      <c r="K192" s="370"/>
      <c r="L192" s="370"/>
    </row>
    <row r="193" spans="1:12" x14ac:dyDescent="0.25">
      <c r="A193" s="370">
        <v>250</v>
      </c>
      <c r="B193" s="369">
        <v>42819</v>
      </c>
      <c r="C193" s="370">
        <v>250</v>
      </c>
      <c r="D193" s="371">
        <v>78.683999999999997</v>
      </c>
      <c r="E193" s="371">
        <v>67.510000000000005</v>
      </c>
      <c r="F193" s="371">
        <f t="shared" si="40"/>
        <v>-2793.4999999999982</v>
      </c>
      <c r="G193" s="371">
        <f t="shared" si="38"/>
        <v>19671</v>
      </c>
      <c r="H193" s="373">
        <f t="shared" si="39"/>
        <v>-0.14201108230389906</v>
      </c>
      <c r="I193" s="716"/>
      <c r="J193" s="370"/>
      <c r="K193" s="370"/>
      <c r="L193" s="370"/>
    </row>
    <row r="194" spans="1:12" x14ac:dyDescent="0.25">
      <c r="A194" s="370">
        <v>250</v>
      </c>
      <c r="B194" s="369">
        <v>42820</v>
      </c>
      <c r="C194" s="370">
        <v>250</v>
      </c>
      <c r="D194" s="371">
        <v>78.164000000000001</v>
      </c>
      <c r="E194" s="371">
        <v>67.92</v>
      </c>
      <c r="F194" s="371">
        <f t="shared" si="40"/>
        <v>-2561</v>
      </c>
      <c r="G194" s="371">
        <f t="shared" si="38"/>
        <v>19541</v>
      </c>
      <c r="H194" s="373">
        <f t="shared" si="39"/>
        <v>-0.13105777595824164</v>
      </c>
      <c r="I194" s="716" t="s">
        <v>185</v>
      </c>
      <c r="J194" s="370">
        <v>44.78</v>
      </c>
      <c r="K194" s="370"/>
      <c r="L194" s="370"/>
    </row>
    <row r="195" spans="1:12" x14ac:dyDescent="0.25">
      <c r="A195" s="370">
        <v>250</v>
      </c>
      <c r="B195" s="369">
        <v>42821</v>
      </c>
      <c r="C195" s="370">
        <v>250</v>
      </c>
      <c r="D195" s="371">
        <v>78.164000000000001</v>
      </c>
      <c r="E195" s="371">
        <v>66.02</v>
      </c>
      <c r="F195" s="371">
        <f t="shared" si="40"/>
        <v>-3036.0000000000014</v>
      </c>
      <c r="G195" s="371">
        <f t="shared" si="38"/>
        <v>19541</v>
      </c>
      <c r="H195" s="373">
        <f t="shared" si="39"/>
        <v>-0.15536564147177737</v>
      </c>
      <c r="I195" s="716"/>
      <c r="J195" s="370"/>
      <c r="K195" s="370"/>
      <c r="L195" s="370"/>
    </row>
    <row r="196" spans="1:12" x14ac:dyDescent="0.25">
      <c r="A196" s="370">
        <v>250</v>
      </c>
      <c r="B196" s="369">
        <v>42862</v>
      </c>
      <c r="C196" s="370">
        <v>250</v>
      </c>
      <c r="D196" s="371">
        <v>78.164000000000001</v>
      </c>
      <c r="E196" s="371">
        <v>67.8</v>
      </c>
      <c r="F196" s="371">
        <f t="shared" si="40"/>
        <v>-2591.0000000000009</v>
      </c>
      <c r="G196" s="371">
        <f t="shared" si="38"/>
        <v>19541</v>
      </c>
      <c r="H196" s="373">
        <f t="shared" si="39"/>
        <v>-0.13259300956962289</v>
      </c>
      <c r="I196" s="716"/>
      <c r="J196" s="370"/>
      <c r="K196" s="370"/>
      <c r="L196" s="370"/>
    </row>
    <row r="197" spans="1:12" x14ac:dyDescent="0.25">
      <c r="A197" s="370">
        <v>250</v>
      </c>
      <c r="B197" s="369">
        <v>42917</v>
      </c>
      <c r="C197" s="370">
        <v>250</v>
      </c>
      <c r="D197" s="371">
        <v>77.644000000000005</v>
      </c>
      <c r="E197" s="371">
        <v>70.78</v>
      </c>
      <c r="F197" s="371">
        <f t="shared" si="40"/>
        <v>-1716.0000000000011</v>
      </c>
      <c r="G197" s="371">
        <f t="shared" si="38"/>
        <v>19411</v>
      </c>
      <c r="H197" s="373">
        <f t="shared" si="39"/>
        <v>-8.8403482561434293E-2</v>
      </c>
      <c r="I197" s="716"/>
      <c r="J197" s="370"/>
      <c r="K197" s="370"/>
      <c r="L197" s="370"/>
    </row>
    <row r="198" spans="1:12" x14ac:dyDescent="0.25">
      <c r="A198" s="370">
        <v>200</v>
      </c>
      <c r="B198" s="369">
        <v>42940</v>
      </c>
      <c r="C198" s="370">
        <v>200</v>
      </c>
      <c r="D198" s="371">
        <v>78.535399999999996</v>
      </c>
      <c r="E198" s="371">
        <v>74.39</v>
      </c>
      <c r="F198" s="371">
        <f t="shared" si="40"/>
        <v>-829.07999999999902</v>
      </c>
      <c r="G198" s="371">
        <f t="shared" si="38"/>
        <v>15707.08</v>
      </c>
      <c r="H198" s="373">
        <f t="shared" si="39"/>
        <v>-5.2783840153612198E-2</v>
      </c>
      <c r="I198" s="716" t="s">
        <v>749</v>
      </c>
      <c r="J198" s="370"/>
      <c r="K198" s="370"/>
      <c r="L198" s="370"/>
    </row>
    <row r="199" spans="1:12" x14ac:dyDescent="0.25">
      <c r="A199" s="370">
        <v>200</v>
      </c>
      <c r="B199" s="369">
        <v>42947</v>
      </c>
      <c r="C199" s="370">
        <v>200</v>
      </c>
      <c r="D199" s="371">
        <v>78.540000000000006</v>
      </c>
      <c r="E199" s="371">
        <v>76.09</v>
      </c>
      <c r="F199" s="371">
        <f t="shared" si="40"/>
        <v>-490.00000000000057</v>
      </c>
      <c r="G199" s="371">
        <f t="shared" si="38"/>
        <v>15708.000000000002</v>
      </c>
      <c r="H199" s="373">
        <f t="shared" si="39"/>
        <v>-3.1194295900178286E-2</v>
      </c>
      <c r="I199" s="716"/>
      <c r="J199" s="370"/>
      <c r="K199" s="370"/>
      <c r="L199" s="370"/>
    </row>
    <row r="200" spans="1:12" x14ac:dyDescent="0.25">
      <c r="A200" s="370">
        <v>200</v>
      </c>
      <c r="B200" s="369">
        <v>42953</v>
      </c>
      <c r="C200" s="370">
        <v>200</v>
      </c>
      <c r="D200" s="371">
        <v>78.540000000000006</v>
      </c>
      <c r="E200" s="371">
        <v>73.16</v>
      </c>
      <c r="F200" s="371">
        <f t="shared" si="40"/>
        <v>-1076.0000000000018</v>
      </c>
      <c r="G200" s="371">
        <f t="shared" si="38"/>
        <v>15708.000000000002</v>
      </c>
      <c r="H200" s="373">
        <f t="shared" si="39"/>
        <v>-6.8500127323656859E-2</v>
      </c>
      <c r="I200" s="716"/>
      <c r="J200" s="370"/>
      <c r="K200" s="370"/>
      <c r="L200" s="370"/>
    </row>
    <row r="201" spans="1:12" x14ac:dyDescent="0.25">
      <c r="A201" s="370">
        <v>100</v>
      </c>
      <c r="B201" s="369">
        <v>42977</v>
      </c>
      <c r="C201" s="370">
        <v>100</v>
      </c>
      <c r="D201" s="371">
        <v>76.489999999999995</v>
      </c>
      <c r="E201" s="371">
        <v>81.23</v>
      </c>
      <c r="F201" s="371">
        <f t="shared" si="40"/>
        <v>474.00000000000091</v>
      </c>
      <c r="G201" s="371">
        <f t="shared" si="38"/>
        <v>7648.9999999999991</v>
      </c>
      <c r="H201" s="373">
        <f t="shared" si="39"/>
        <v>6.1968884821545424E-2</v>
      </c>
      <c r="I201" s="716" t="s">
        <v>736</v>
      </c>
      <c r="J201" s="370"/>
      <c r="K201" s="370"/>
      <c r="L201" s="370"/>
    </row>
    <row r="202" spans="1:12" x14ac:dyDescent="0.25">
      <c r="A202" s="370">
        <v>50</v>
      </c>
      <c r="B202" s="369">
        <v>42981</v>
      </c>
      <c r="C202" s="370">
        <v>50</v>
      </c>
      <c r="D202" s="371">
        <v>69.81</v>
      </c>
      <c r="E202" s="371">
        <v>83.75</v>
      </c>
      <c r="F202" s="371">
        <f t="shared" si="40"/>
        <v>696.99999999999989</v>
      </c>
      <c r="G202" s="371">
        <f t="shared" si="38"/>
        <v>3490.5</v>
      </c>
      <c r="H202" s="373">
        <f t="shared" si="39"/>
        <v>0.19968485890273596</v>
      </c>
      <c r="I202" s="716"/>
      <c r="J202" s="370"/>
      <c r="K202" s="370"/>
      <c r="L202" s="370"/>
    </row>
    <row r="203" spans="1:12" x14ac:dyDescent="0.25">
      <c r="A203" s="370">
        <v>50</v>
      </c>
      <c r="B203" s="369">
        <v>42983</v>
      </c>
      <c r="C203" s="370">
        <v>100</v>
      </c>
      <c r="D203" s="371">
        <v>75.84</v>
      </c>
      <c r="E203" s="371">
        <v>82.56</v>
      </c>
      <c r="F203" s="371">
        <f t="shared" si="40"/>
        <v>671.99999999999989</v>
      </c>
      <c r="G203" s="371"/>
      <c r="H203" s="373">
        <f t="shared" si="39"/>
        <v>8.8607594936708847E-2</v>
      </c>
      <c r="I203" s="716">
        <v>75</v>
      </c>
      <c r="J203" s="370"/>
      <c r="K203" s="370"/>
      <c r="L203" s="370"/>
    </row>
    <row r="204" spans="1:12" x14ac:dyDescent="0.25">
      <c r="A204" s="370">
        <v>0</v>
      </c>
      <c r="B204" s="369">
        <v>42984</v>
      </c>
      <c r="C204" s="370">
        <v>50</v>
      </c>
      <c r="D204" s="371">
        <v>68.706999999999994</v>
      </c>
      <c r="E204" s="371">
        <v>82.98</v>
      </c>
      <c r="F204" s="371">
        <f t="shared" si="40"/>
        <v>713.65000000000055</v>
      </c>
      <c r="G204" s="371">
        <f t="shared" ref="G204" si="41">D204*C204</f>
        <v>3435.3499999999995</v>
      </c>
      <c r="H204" s="373">
        <f t="shared" si="39"/>
        <v>0.2077372029050899</v>
      </c>
      <c r="I204" s="716"/>
      <c r="J204" s="370"/>
      <c r="K204" s="370"/>
      <c r="L204" s="370"/>
    </row>
    <row r="205" spans="1:12" x14ac:dyDescent="0.25">
      <c r="A205" s="370"/>
      <c r="B205" s="370"/>
      <c r="C205" s="370"/>
      <c r="D205" s="371"/>
      <c r="E205" s="371"/>
      <c r="F205" s="371"/>
      <c r="G205" s="371"/>
      <c r="H205" s="373"/>
      <c r="I205" s="716"/>
      <c r="J205" s="370"/>
      <c r="K205" s="370"/>
      <c r="L205" s="370"/>
    </row>
    <row r="206" spans="1:12" x14ac:dyDescent="0.25">
      <c r="A206" s="370"/>
      <c r="B206" s="370"/>
      <c r="C206" s="370"/>
      <c r="D206" s="371"/>
      <c r="E206" s="371"/>
      <c r="F206" s="371"/>
      <c r="G206" s="371"/>
      <c r="H206" s="373"/>
      <c r="I206" s="716"/>
      <c r="J206" s="370"/>
      <c r="K206" s="370"/>
      <c r="L206" s="370"/>
    </row>
    <row r="207" spans="1:12" x14ac:dyDescent="0.25">
      <c r="A207" s="370"/>
      <c r="B207" s="370"/>
      <c r="C207" s="370"/>
      <c r="D207" s="371"/>
      <c r="E207" s="371"/>
      <c r="F207" s="371"/>
      <c r="G207" s="371"/>
      <c r="H207" s="373"/>
      <c r="I207" s="716"/>
      <c r="J207" s="370"/>
      <c r="K207" s="370"/>
      <c r="L207" s="370"/>
    </row>
    <row r="208" spans="1:12" x14ac:dyDescent="0.25">
      <c r="A208" s="370"/>
      <c r="B208" s="370"/>
      <c r="C208" s="370"/>
      <c r="D208" s="371"/>
      <c r="E208" s="371"/>
      <c r="F208" s="371"/>
      <c r="G208" s="371"/>
      <c r="H208" s="373"/>
      <c r="I208" s="716"/>
      <c r="J208" s="370"/>
      <c r="K208" s="370"/>
      <c r="L208" s="370"/>
    </row>
    <row r="209" spans="1:12" x14ac:dyDescent="0.25">
      <c r="A209" s="370"/>
      <c r="B209" s="370"/>
      <c r="C209" s="370"/>
      <c r="D209" s="371"/>
      <c r="E209" s="371"/>
      <c r="F209" s="371"/>
      <c r="G209" s="371"/>
      <c r="H209" s="373"/>
      <c r="I209" s="716"/>
      <c r="J209" s="370"/>
      <c r="K209" s="370"/>
      <c r="L209" s="370"/>
    </row>
    <row r="210" spans="1:12" x14ac:dyDescent="0.25">
      <c r="A210" s="370"/>
      <c r="B210" s="370"/>
      <c r="C210" s="370"/>
      <c r="D210" s="371"/>
      <c r="E210" s="371"/>
      <c r="F210" s="371"/>
      <c r="G210" s="371"/>
      <c r="H210" s="373"/>
      <c r="I210" s="716"/>
      <c r="J210" s="370"/>
      <c r="K210" s="370"/>
      <c r="L210" s="370"/>
    </row>
    <row r="211" spans="1:12" x14ac:dyDescent="0.25">
      <c r="A211" s="370"/>
      <c r="B211" s="370"/>
      <c r="C211" s="370"/>
      <c r="D211" s="371"/>
      <c r="E211" s="371"/>
      <c r="F211" s="371"/>
      <c r="G211" s="371"/>
      <c r="H211" s="373"/>
      <c r="I211" s="716"/>
      <c r="J211" s="370"/>
      <c r="K211" s="370"/>
      <c r="L211" s="370"/>
    </row>
    <row r="212" spans="1:12" x14ac:dyDescent="0.25">
      <c r="A212" s="370"/>
      <c r="B212" s="370"/>
      <c r="C212" s="370"/>
      <c r="D212" s="371"/>
      <c r="E212" s="371"/>
      <c r="F212" s="371"/>
      <c r="G212" s="371"/>
      <c r="H212" s="373"/>
      <c r="I212" s="716"/>
      <c r="J212" s="370"/>
      <c r="K212" s="370"/>
      <c r="L212" s="370"/>
    </row>
    <row r="213" spans="1:12" x14ac:dyDescent="0.25">
      <c r="A213" s="370"/>
      <c r="B213" s="370"/>
      <c r="C213" s="370"/>
      <c r="D213" s="371"/>
      <c r="E213" s="371"/>
      <c r="F213" s="371"/>
      <c r="G213" s="371"/>
      <c r="H213" s="373"/>
      <c r="I213" s="716"/>
      <c r="J213" s="370"/>
      <c r="K213" s="370"/>
      <c r="L213" s="370"/>
    </row>
    <row r="214" spans="1:12" x14ac:dyDescent="0.25">
      <c r="A214" s="370"/>
      <c r="B214" s="370"/>
      <c r="C214" s="370"/>
      <c r="D214" s="371"/>
      <c r="E214" s="371"/>
      <c r="F214" s="371"/>
      <c r="G214" s="371"/>
      <c r="H214" s="373"/>
      <c r="I214" s="716"/>
      <c r="J214" s="370"/>
      <c r="K214" s="370"/>
      <c r="L214" s="370"/>
    </row>
    <row r="215" spans="1:12" x14ac:dyDescent="0.25">
      <c r="A215" s="370"/>
      <c r="B215" s="370"/>
      <c r="C215" s="370"/>
      <c r="D215" s="371"/>
      <c r="E215" s="371"/>
      <c r="F215" s="371"/>
      <c r="G215" s="371"/>
      <c r="H215" s="373"/>
      <c r="I215" s="716"/>
      <c r="J215" s="370"/>
      <c r="K215" s="370"/>
      <c r="L215" s="370"/>
    </row>
    <row r="216" spans="1:12" x14ac:dyDescent="0.25">
      <c r="A216" s="370"/>
      <c r="B216" s="370"/>
      <c r="C216" s="370"/>
      <c r="D216" s="371"/>
      <c r="E216" s="371"/>
      <c r="F216" s="371"/>
      <c r="G216" s="370"/>
      <c r="H216" s="370"/>
      <c r="I216" s="370"/>
      <c r="J216" s="370"/>
      <c r="K216" s="370"/>
      <c r="L216" s="370"/>
    </row>
  </sheetData>
  <mergeCells count="1">
    <mergeCell ref="O42:P42"/>
  </mergeCells>
  <conditionalFormatting sqref="H45:I45 H48:I52 I31:I32 H34 H35:I35 H37:I37 H36 H38:H39 F34:F42 H40:I41 H42 H44 H46:H47 F44:F52 AA24:AG24">
    <cfRule type="expression" dxfId="561" priority="80">
      <formula>F24&gt;0</formula>
    </cfRule>
    <cfRule type="expression" dxfId="560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559" priority="63">
      <formula>F30&gt;0</formula>
    </cfRule>
    <cfRule type="expression" dxfId="558" priority="64">
      <formula>F30&lt;0</formula>
    </cfRule>
  </conditionalFormatting>
  <conditionalFormatting sqref="H30:I30 H43 H31:H33">
    <cfRule type="expression" dxfId="557" priority="61">
      <formula>H30&gt;0</formula>
    </cfRule>
    <cfRule type="expression" dxfId="556" priority="62">
      <formula>H30&lt;0</formula>
    </cfRule>
  </conditionalFormatting>
  <conditionalFormatting sqref="Q8">
    <cfRule type="expression" dxfId="555" priority="55">
      <formula>Q8&gt;0</formula>
    </cfRule>
    <cfRule type="expression" dxfId="554" priority="56">
      <formula>Q8&lt;0</formula>
    </cfRule>
  </conditionalFormatting>
  <conditionalFormatting sqref="Q7">
    <cfRule type="expression" dxfId="553" priority="57">
      <formula>Q7&gt;0</formula>
    </cfRule>
    <cfRule type="expression" dxfId="552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551" priority="43">
      <formula>F115&gt;0</formula>
    </cfRule>
    <cfRule type="expression" dxfId="550" priority="44">
      <formula>F115&lt;0</formula>
    </cfRule>
  </conditionalFormatting>
  <conditionalFormatting sqref="F112:F114">
    <cfRule type="expression" dxfId="549" priority="41">
      <formula>F112&gt;0</formula>
    </cfRule>
    <cfRule type="expression" dxfId="548" priority="42">
      <formula>F112&lt;0</formula>
    </cfRule>
  </conditionalFormatting>
  <conditionalFormatting sqref="H112:I112">
    <cfRule type="expression" dxfId="547" priority="39">
      <formula>H112&gt;0</formula>
    </cfRule>
    <cfRule type="expression" dxfId="546" priority="40">
      <formula>H112&lt;0</formula>
    </cfRule>
  </conditionalFormatting>
  <conditionalFormatting sqref="H113:I113">
    <cfRule type="expression" dxfId="545" priority="37">
      <formula>H113&gt;0</formula>
    </cfRule>
    <cfRule type="expression" dxfId="544" priority="38">
      <formula>H113&lt;0</formula>
    </cfRule>
  </conditionalFormatting>
  <conditionalFormatting sqref="H114:I114">
    <cfRule type="expression" dxfId="543" priority="35">
      <formula>H114&gt;0</formula>
    </cfRule>
    <cfRule type="expression" dxfId="542" priority="36">
      <formula>H114&lt;0</formula>
    </cfRule>
  </conditionalFormatting>
  <conditionalFormatting sqref="F105:F111">
    <cfRule type="expression" dxfId="541" priority="33">
      <formula>F105&gt;0</formula>
    </cfRule>
    <cfRule type="expression" dxfId="540" priority="34">
      <formula>F105&lt;0</formula>
    </cfRule>
  </conditionalFormatting>
  <conditionalFormatting sqref="H105:I111">
    <cfRule type="expression" dxfId="539" priority="31">
      <formula>H105&gt;0</formula>
    </cfRule>
    <cfRule type="expression" dxfId="538" priority="32">
      <formula>H105&lt;0</formula>
    </cfRule>
  </conditionalFormatting>
  <conditionalFormatting sqref="I117 F117:F119">
    <cfRule type="expression" dxfId="537" priority="29">
      <formula>F117&gt;0</formula>
    </cfRule>
    <cfRule type="expression" dxfId="536" priority="30">
      <formula>F117&lt;0</formula>
    </cfRule>
  </conditionalFormatting>
  <conditionalFormatting sqref="F189:F196 H189:H196">
    <cfRule type="expression" dxfId="535" priority="27">
      <formula>F189&gt;0</formula>
    </cfRule>
    <cfRule type="expression" dxfId="534" priority="28">
      <formula>F189&lt;0</formula>
    </cfRule>
  </conditionalFormatting>
  <conditionalFormatting sqref="H202 F202">
    <cfRule type="expression" dxfId="533" priority="25">
      <formula>F202&gt;0</formula>
    </cfRule>
    <cfRule type="expression" dxfId="532" priority="26">
      <formula>F202&lt;0</formula>
    </cfRule>
  </conditionalFormatting>
  <conditionalFormatting sqref="I204">
    <cfRule type="expression" dxfId="531" priority="23">
      <formula>I204&gt;0</formula>
    </cfRule>
    <cfRule type="expression" dxfId="530" priority="24">
      <formula>I204&lt;0</formula>
    </cfRule>
  </conditionalFormatting>
  <conditionalFormatting sqref="H204 F204">
    <cfRule type="expression" dxfId="529" priority="21">
      <formula>F204&gt;0</formula>
    </cfRule>
    <cfRule type="expression" dxfId="528" priority="22">
      <formula>F204&lt;0</formula>
    </cfRule>
  </conditionalFormatting>
  <conditionalFormatting sqref="M54">
    <cfRule type="expression" dxfId="527" priority="19">
      <formula>M54&gt;0</formula>
    </cfRule>
    <cfRule type="expression" dxfId="526" priority="20">
      <formula>M54&lt;0</formula>
    </cfRule>
  </conditionalFormatting>
  <conditionalFormatting sqref="K33:K49">
    <cfRule type="expression" dxfId="525" priority="17">
      <formula>K33&gt;0</formula>
    </cfRule>
    <cfRule type="expression" dxfId="524" priority="18">
      <formula>K33&lt;0</formula>
    </cfRule>
  </conditionalFormatting>
  <conditionalFormatting sqref="Q10">
    <cfRule type="expression" dxfId="523" priority="15">
      <formula>Q10&gt;0</formula>
    </cfRule>
    <cfRule type="expression" dxfId="522" priority="16">
      <formula>Q10&lt;0</formula>
    </cfRule>
  </conditionalFormatting>
  <conditionalFormatting sqref="Z10">
    <cfRule type="expression" dxfId="521" priority="13">
      <formula>Z10&gt;0</formula>
    </cfRule>
    <cfRule type="expression" dxfId="520" priority="14">
      <formula>Z10&lt;0</formula>
    </cfRule>
  </conditionalFormatting>
  <conditionalFormatting sqref="AA10:AE10">
    <cfRule type="expression" dxfId="519" priority="11">
      <formula>AA10&gt;0</formula>
    </cfRule>
    <cfRule type="expression" dxfId="518" priority="12">
      <formula>AA10&lt;0</formula>
    </cfRule>
  </conditionalFormatting>
  <conditionalFormatting sqref="Z24">
    <cfRule type="expression" dxfId="517" priority="9">
      <formula>Z24&gt;0</formula>
    </cfRule>
    <cfRule type="expression" dxfId="516" priority="10">
      <formula>Z24&lt;0</formula>
    </cfRule>
  </conditionalFormatting>
  <conditionalFormatting sqref="AF10:AG10">
    <cfRule type="expression" dxfId="515" priority="1">
      <formula>AF10&gt;0</formula>
    </cfRule>
    <cfRule type="expression" dxfId="514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70.83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70.83</v>
      </c>
      <c r="R4" s="486">
        <v>-1.09E-2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6" t="s">
        <v>1</v>
      </c>
      <c r="B34" s="376" t="s">
        <v>2</v>
      </c>
      <c r="C34" s="376" t="s">
        <v>4</v>
      </c>
      <c r="D34" s="378" t="s">
        <v>5</v>
      </c>
      <c r="E34" s="378" t="s">
        <v>94</v>
      </c>
      <c r="F34" s="378" t="s">
        <v>60</v>
      </c>
      <c r="G34" s="376" t="s">
        <v>3</v>
      </c>
      <c r="H34" s="376" t="s">
        <v>6</v>
      </c>
      <c r="I34" s="376" t="s">
        <v>7</v>
      </c>
      <c r="J34" s="376" t="s">
        <v>95</v>
      </c>
      <c r="K34" s="376" t="s">
        <v>61</v>
      </c>
      <c r="L34" s="376" t="s">
        <v>77</v>
      </c>
      <c r="M34" s="376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9" t="s">
        <v>53</v>
      </c>
      <c r="B35" s="369">
        <v>42214</v>
      </c>
      <c r="C35" s="370">
        <v>15</v>
      </c>
      <c r="D35" s="371">
        <v>47.8</v>
      </c>
      <c r="E35" s="371">
        <v>0</v>
      </c>
      <c r="F35" s="371">
        <f>C35*D35</f>
        <v>717</v>
      </c>
      <c r="G35" s="369">
        <v>42313</v>
      </c>
      <c r="H35" s="371">
        <v>70</v>
      </c>
      <c r="I35" s="371">
        <v>46.15</v>
      </c>
      <c r="J35" s="371">
        <v>0.06</v>
      </c>
      <c r="K35" s="370">
        <f>I35*H35-J35</f>
        <v>3230.44</v>
      </c>
      <c r="L35" s="369">
        <v>42247</v>
      </c>
      <c r="M35" s="371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0" t="s">
        <v>71</v>
      </c>
      <c r="B36" s="369">
        <v>42233</v>
      </c>
      <c r="C36" s="370">
        <v>20</v>
      </c>
      <c r="D36" s="371">
        <v>47.5</v>
      </c>
      <c r="E36" s="371">
        <v>0</v>
      </c>
      <c r="F36" s="371">
        <f>C36*D36</f>
        <v>950</v>
      </c>
      <c r="G36" s="370"/>
      <c r="H36" s="370"/>
      <c r="I36" s="370"/>
      <c r="J36" s="370"/>
      <c r="K36" s="370"/>
      <c r="L36" s="369">
        <v>42338</v>
      </c>
      <c r="M36" s="370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0"/>
      <c r="B37" s="369">
        <v>42269</v>
      </c>
      <c r="C37" s="370">
        <v>35</v>
      </c>
      <c r="D37" s="371">
        <v>43.8</v>
      </c>
      <c r="E37" s="371">
        <v>0</v>
      </c>
      <c r="F37" s="371">
        <f>C37*D37</f>
        <v>1533</v>
      </c>
      <c r="G37" s="370"/>
      <c r="H37" s="370"/>
      <c r="I37" s="370"/>
      <c r="J37" s="370"/>
      <c r="K37" s="370"/>
      <c r="L37" s="370"/>
      <c r="M37" s="370"/>
      <c r="W37" s="130">
        <v>42781</v>
      </c>
      <c r="X37" s="10" t="s">
        <v>447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1" t="s">
        <v>78</v>
      </c>
      <c r="P42" s="811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77.913000000000011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2">O44*$Q$4</f>
        <v>77.204700000000003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2"/>
        <v>76.496400000000008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2"/>
        <v>75.7881</v>
      </c>
      <c r="Q46" s="81"/>
      <c r="T46" s="91" t="s">
        <v>100</v>
      </c>
      <c r="U46" s="86" t="s">
        <v>689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0"/>
      <c r="B47" s="370"/>
      <c r="C47" s="370"/>
      <c r="D47" s="371"/>
      <c r="E47" s="371"/>
      <c r="F47" s="371"/>
      <c r="G47" s="370"/>
      <c r="H47" s="370"/>
      <c r="I47" s="370"/>
      <c r="J47" s="370"/>
      <c r="K47" s="370"/>
      <c r="L47" s="370"/>
      <c r="M47" s="370"/>
      <c r="O47" s="81">
        <v>1.06</v>
      </c>
      <c r="P47" s="81">
        <f t="shared" si="2"/>
        <v>75.079800000000006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0"/>
      <c r="B48" s="370"/>
      <c r="C48" s="370"/>
      <c r="D48" s="371"/>
      <c r="E48" s="371"/>
      <c r="F48" s="371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2"/>
        <v>74.371499999999997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0"/>
      <c r="B49" s="370"/>
      <c r="C49" s="370"/>
      <c r="D49" s="371"/>
      <c r="E49" s="371"/>
      <c r="F49" s="371"/>
      <c r="G49" s="370"/>
      <c r="H49" s="370"/>
      <c r="I49" s="370"/>
      <c r="J49" s="370"/>
      <c r="K49" s="370"/>
      <c r="L49" s="370"/>
      <c r="M49" s="370"/>
      <c r="O49" s="81">
        <v>1.04</v>
      </c>
      <c r="P49" s="81">
        <f t="shared" si="2"/>
        <v>73.663200000000003</v>
      </c>
      <c r="Q49" s="81"/>
      <c r="T49" s="91" t="s">
        <v>121</v>
      </c>
      <c r="U49" s="86" t="s">
        <v>367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0"/>
      <c r="B50" s="370"/>
      <c r="C50" s="370"/>
      <c r="D50" s="371"/>
      <c r="E50" s="371"/>
      <c r="F50" s="371"/>
      <c r="G50" s="370"/>
      <c r="H50" s="370"/>
      <c r="I50" s="370"/>
      <c r="J50" s="370"/>
      <c r="K50" s="370"/>
      <c r="L50" s="370"/>
      <c r="M50" s="370"/>
      <c r="O50" s="81">
        <v>1.03</v>
      </c>
      <c r="P50" s="81">
        <f t="shared" si="2"/>
        <v>72.954899999999995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72.246600000000001</v>
      </c>
      <c r="Q51" s="81"/>
      <c r="T51" s="91" t="s">
        <v>104</v>
      </c>
      <c r="U51" s="86" t="s">
        <v>690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0"/>
      <c r="B52" s="370"/>
      <c r="C52" s="370"/>
      <c r="D52" s="371"/>
      <c r="E52" s="371"/>
      <c r="F52" s="371"/>
      <c r="G52" s="370"/>
      <c r="H52" s="370"/>
      <c r="I52" s="370"/>
      <c r="J52" s="370"/>
      <c r="K52" s="370"/>
      <c r="L52" s="370"/>
      <c r="M52" s="370"/>
      <c r="O52" s="81">
        <v>1.01</v>
      </c>
      <c r="P52" s="81">
        <f t="shared" si="2"/>
        <v>71.538299999999992</v>
      </c>
      <c r="Q52" s="81"/>
      <c r="T52" s="91" t="s">
        <v>105</v>
      </c>
      <c r="U52" s="86" t="s">
        <v>691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70.83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70.121700000000004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69.413399999999996</v>
      </c>
      <c r="Q55" s="81"/>
      <c r="T55" s="91" t="s">
        <v>107</v>
      </c>
      <c r="U55" s="86" t="s">
        <v>692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68.705100000000002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67.996799999999993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67.288499999999999</v>
      </c>
      <c r="Q58" s="81"/>
      <c r="T58" s="91" t="s">
        <v>108</v>
      </c>
      <c r="U58" s="86" t="s">
        <v>544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66.580199999999991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65.871899999999997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65.163600000000002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64.455299999999994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63.747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13" priority="5">
      <formula>F21&gt;0</formula>
    </cfRule>
    <cfRule type="expression" dxfId="512" priority="6">
      <formula>F21&lt;0</formula>
    </cfRule>
  </conditionalFormatting>
  <conditionalFormatting sqref="Q8">
    <cfRule type="expression" dxfId="511" priority="1">
      <formula>Q8&gt;0</formula>
    </cfRule>
    <cfRule type="expression" dxfId="510" priority="2">
      <formula>Q8&lt;0</formula>
    </cfRule>
  </conditionalFormatting>
  <conditionalFormatting sqref="Q7">
    <cfRule type="expression" dxfId="509" priority="3">
      <formula>Q7&gt;0</formula>
    </cfRule>
    <cfRule type="expression" dxfId="50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3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3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4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50.55</v>
      </c>
      <c r="R4" s="486">
        <v>-4.4999999999999997E-3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4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5055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4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4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-314.00999999999931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4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-363.95999999999913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4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-6.7164179104477445E-2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4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3.8773491592482695E-2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5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C16" s="4"/>
      <c r="D16" s="3"/>
      <c r="E16" s="3"/>
      <c r="F16" s="3"/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0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513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356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445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4">
        <v>200</v>
      </c>
      <c r="D41" s="435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11" t="s">
        <v>78</v>
      </c>
      <c r="P41" s="811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55.605000000000004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55.099499999999999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54.594000000000001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4">
        <v>200</v>
      </c>
      <c r="D45" s="435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54.088500000000003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53.582999999999998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53.077500000000001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52.571999999999996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4">
        <v>200</v>
      </c>
      <c r="D49" s="435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800</v>
      </c>
      <c r="J49" s="39">
        <v>-948</v>
      </c>
      <c r="K49" s="39">
        <v>46.9</v>
      </c>
      <c r="O49" s="81">
        <v>1.03</v>
      </c>
      <c r="P49" s="81">
        <f t="shared" si="17"/>
        <v>52.066499999999998</v>
      </c>
      <c r="Q49" s="2"/>
      <c r="T49" s="91" t="s">
        <v>121</v>
      </c>
      <c r="U49" s="127" t="s">
        <v>541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51.561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4">
        <v>200</v>
      </c>
      <c r="D51" s="435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814</v>
      </c>
      <c r="J51" s="39">
        <v>-829</v>
      </c>
      <c r="K51" s="39"/>
      <c r="O51" s="81">
        <v>1.01</v>
      </c>
      <c r="P51" s="81">
        <f t="shared" si="17"/>
        <v>51.055499999999995</v>
      </c>
      <c r="Q51" s="2"/>
      <c r="T51" s="91" t="s">
        <v>104</v>
      </c>
      <c r="U51" s="127" t="s">
        <v>693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50.55</v>
      </c>
      <c r="Q52" s="2"/>
      <c r="T52" s="91" t="s">
        <v>105</v>
      </c>
      <c r="U52" s="127" t="s">
        <v>694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50.044499999999999</v>
      </c>
      <c r="Q53" s="2"/>
      <c r="T53" s="492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49.538999999999994</v>
      </c>
      <c r="Q54" s="2"/>
      <c r="T54" s="492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49.033499999999997</v>
      </c>
      <c r="T55" s="91" t="s">
        <v>107</v>
      </c>
      <c r="U55" s="127" t="s">
        <v>695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48.527999999999999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48.022499999999994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47.516999999999996</v>
      </c>
      <c r="T58" s="91" t="s">
        <v>108</v>
      </c>
      <c r="U58" s="127" t="s">
        <v>578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47.011499999999998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46.506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46.000500000000002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45.494999999999997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6" t="s">
        <v>1</v>
      </c>
      <c r="B69" s="376" t="s">
        <v>2</v>
      </c>
      <c r="C69" s="376" t="s">
        <v>4</v>
      </c>
      <c r="D69" s="378" t="s">
        <v>5</v>
      </c>
      <c r="E69" s="378" t="s">
        <v>94</v>
      </c>
      <c r="F69" s="378" t="s">
        <v>60</v>
      </c>
      <c r="G69" s="376" t="s">
        <v>3</v>
      </c>
      <c r="H69" s="376" t="s">
        <v>6</v>
      </c>
      <c r="I69" s="376" t="s">
        <v>7</v>
      </c>
      <c r="J69" s="376" t="s">
        <v>95</v>
      </c>
      <c r="K69" s="376" t="s">
        <v>61</v>
      </c>
      <c r="L69" s="376" t="s">
        <v>77</v>
      </c>
      <c r="M69" s="376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79" t="s">
        <v>171</v>
      </c>
      <c r="B70" s="381">
        <v>42376</v>
      </c>
      <c r="C70" s="370">
        <v>50</v>
      </c>
      <c r="D70" s="371">
        <v>55.15</v>
      </c>
      <c r="E70" s="371">
        <v>0</v>
      </c>
      <c r="F70" s="371">
        <f>C70*D70+E70</f>
        <v>2757.5</v>
      </c>
      <c r="G70" s="369">
        <v>42409</v>
      </c>
      <c r="H70" s="374">
        <v>50</v>
      </c>
      <c r="I70" s="371">
        <v>56.15</v>
      </c>
      <c r="J70" s="371">
        <v>0.05</v>
      </c>
      <c r="K70" s="370">
        <f>H70*I70-J70</f>
        <v>2807.45</v>
      </c>
      <c r="L70" s="369"/>
      <c r="M70" s="371"/>
    </row>
    <row r="71" spans="1:32" x14ac:dyDescent="0.25">
      <c r="A71" s="380" t="s">
        <v>71</v>
      </c>
      <c r="B71" s="381"/>
      <c r="C71" s="370"/>
      <c r="D71" s="371"/>
      <c r="E71" s="371"/>
      <c r="F71" s="371"/>
      <c r="G71" s="369"/>
      <c r="H71" s="370"/>
      <c r="I71" s="370"/>
      <c r="J71" s="370"/>
      <c r="K71" s="370"/>
      <c r="L71" s="370"/>
      <c r="M71" s="370"/>
    </row>
    <row r="72" spans="1:32" x14ac:dyDescent="0.25">
      <c r="A72" s="370"/>
      <c r="B72" s="369"/>
      <c r="C72" s="370"/>
      <c r="D72" s="371"/>
      <c r="E72" s="371"/>
      <c r="F72" s="371"/>
      <c r="G72" s="370"/>
      <c r="H72" s="370"/>
      <c r="I72" s="370"/>
      <c r="J72" s="370"/>
      <c r="K72" s="370"/>
      <c r="L72" s="370"/>
      <c r="M72" s="370"/>
    </row>
    <row r="73" spans="1:32" x14ac:dyDescent="0.25">
      <c r="A73" s="370"/>
      <c r="B73" s="369"/>
      <c r="C73" s="370"/>
      <c r="D73" s="371"/>
      <c r="E73" s="371"/>
      <c r="F73" s="371"/>
      <c r="G73" s="370"/>
      <c r="H73" s="370"/>
      <c r="I73" s="370"/>
      <c r="J73" s="370"/>
      <c r="K73" s="370"/>
      <c r="L73" s="370"/>
      <c r="M73" s="370"/>
    </row>
    <row r="74" spans="1:32" x14ac:dyDescent="0.25">
      <c r="A74" s="370"/>
      <c r="B74" s="370"/>
      <c r="C74" s="370"/>
      <c r="D74" s="371"/>
      <c r="E74" s="371"/>
      <c r="F74" s="371"/>
      <c r="G74" s="370"/>
      <c r="H74" s="370"/>
      <c r="I74" s="370"/>
      <c r="J74" s="370"/>
      <c r="K74" s="370"/>
      <c r="L74" s="370"/>
      <c r="M74" s="370"/>
    </row>
    <row r="75" spans="1:32" x14ac:dyDescent="0.25">
      <c r="A75" s="370"/>
      <c r="B75" s="370"/>
      <c r="C75" s="370"/>
      <c r="D75" s="371"/>
      <c r="E75" s="371"/>
      <c r="F75" s="371"/>
      <c r="G75" s="370"/>
      <c r="H75" s="370"/>
      <c r="I75" s="370"/>
      <c r="J75" s="370"/>
      <c r="K75" s="370"/>
      <c r="L75" s="370"/>
      <c r="M75" s="370"/>
    </row>
    <row r="76" spans="1:32" x14ac:dyDescent="0.25">
      <c r="A76" s="370"/>
      <c r="B76" s="370"/>
      <c r="C76" s="370"/>
      <c r="D76" s="371"/>
      <c r="E76" s="371"/>
      <c r="F76" s="371"/>
      <c r="G76" s="370"/>
      <c r="H76" s="370"/>
      <c r="I76" s="370"/>
      <c r="J76" s="370"/>
      <c r="K76" s="370"/>
      <c r="L76" s="370"/>
      <c r="M76" s="370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0"/>
      <c r="B78" s="370"/>
      <c r="C78" s="370"/>
      <c r="D78" s="371"/>
      <c r="E78" s="371"/>
      <c r="F78" s="371"/>
      <c r="G78" s="370"/>
      <c r="H78" s="370"/>
      <c r="I78" s="370"/>
      <c r="J78" s="370"/>
      <c r="K78" s="370"/>
      <c r="L78" s="370"/>
      <c r="M78" s="370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507" priority="17">
      <formula>F22&gt;0</formula>
    </cfRule>
    <cfRule type="expression" dxfId="506" priority="18">
      <formula>F22&lt;0</formula>
    </cfRule>
  </conditionalFormatting>
  <conditionalFormatting sqref="Q8">
    <cfRule type="expression" dxfId="505" priority="11">
      <formula>Q8&gt;0</formula>
    </cfRule>
    <cfRule type="expression" dxfId="504" priority="12">
      <formula>Q8&lt;0</formula>
    </cfRule>
  </conditionalFormatting>
  <conditionalFormatting sqref="Q7">
    <cfRule type="expression" dxfId="503" priority="13">
      <formula>Q7&gt;0</formula>
    </cfRule>
    <cfRule type="expression" dxfId="502" priority="14">
      <formula>Q7&lt;0</formula>
    </cfRule>
  </conditionalFormatting>
  <conditionalFormatting sqref="M68">
    <cfRule type="expression" dxfId="501" priority="9">
      <formula>M68&gt;0</formula>
    </cfRule>
    <cfRule type="expression" dxfId="500" priority="10">
      <formula>M68&lt;0</formula>
    </cfRule>
  </conditionalFormatting>
  <conditionalFormatting sqref="J36">
    <cfRule type="expression" dxfId="499" priority="7">
      <formula>J36&gt;0</formula>
    </cfRule>
    <cfRule type="expression" dxfId="498" priority="8">
      <formula>J36&lt;0</formula>
    </cfRule>
  </conditionalFormatting>
  <conditionalFormatting sqref="J37:J49 J50:K64">
    <cfRule type="expression" dxfId="497" priority="5">
      <formula>J37&gt;0</formula>
    </cfRule>
    <cfRule type="expression" dxfId="496" priority="6">
      <formula>J37&lt;0</formula>
    </cfRule>
  </conditionalFormatting>
  <conditionalFormatting sqref="Q10">
    <cfRule type="expression" dxfId="495" priority="3">
      <formula>Q10&gt;0</formula>
    </cfRule>
    <cfRule type="expression" dxfId="494" priority="4">
      <formula>Q10&lt;0</formula>
    </cfRule>
  </conditionalFormatting>
  <conditionalFormatting sqref="Q9">
    <cfRule type="expression" dxfId="493" priority="1">
      <formula>Q9&gt;0</formula>
    </cfRule>
    <cfRule type="expression" dxfId="492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39.35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39.35</v>
      </c>
      <c r="R4" s="486">
        <v>-2.0400000000000001E-2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6" t="s">
        <v>1</v>
      </c>
      <c r="B30" s="376" t="s">
        <v>2</v>
      </c>
      <c r="C30" s="376" t="s">
        <v>4</v>
      </c>
      <c r="D30" s="378" t="s">
        <v>5</v>
      </c>
      <c r="E30" s="378"/>
      <c r="F30" s="378" t="s">
        <v>60</v>
      </c>
      <c r="G30" s="376" t="s">
        <v>3</v>
      </c>
      <c r="H30" s="376" t="s">
        <v>6</v>
      </c>
      <c r="I30" s="376" t="s">
        <v>7</v>
      </c>
      <c r="J30" s="376"/>
      <c r="K30" s="376" t="s">
        <v>61</v>
      </c>
      <c r="L30" s="376" t="s">
        <v>77</v>
      </c>
      <c r="M30" s="376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9" t="s">
        <v>56</v>
      </c>
      <c r="B31" s="818">
        <v>42220</v>
      </c>
      <c r="C31" s="370">
        <v>40</v>
      </c>
      <c r="D31" s="371">
        <v>31.78</v>
      </c>
      <c r="E31" s="371"/>
      <c r="F31" s="371">
        <f>C31*D31</f>
        <v>1271.2</v>
      </c>
      <c r="G31" s="369">
        <v>42235</v>
      </c>
      <c r="H31" s="370">
        <v>100</v>
      </c>
      <c r="I31" s="371">
        <v>31.5</v>
      </c>
      <c r="J31" s="370">
        <v>0.06</v>
      </c>
      <c r="K31" s="370">
        <f>H31*I31-J31</f>
        <v>3149.94</v>
      </c>
      <c r="L31" s="369">
        <v>42276</v>
      </c>
      <c r="M31" s="371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0" t="s">
        <v>71</v>
      </c>
      <c r="B32" s="818"/>
      <c r="C32" s="370">
        <v>60</v>
      </c>
      <c r="D32" s="371">
        <v>31.78</v>
      </c>
      <c r="E32" s="371"/>
      <c r="F32" s="371">
        <f>C32*D32</f>
        <v>1906.8000000000002</v>
      </c>
      <c r="G32" s="369">
        <v>42284</v>
      </c>
      <c r="H32" s="370">
        <v>40</v>
      </c>
      <c r="I32" s="370">
        <v>31.55</v>
      </c>
      <c r="J32" s="370">
        <v>0.02</v>
      </c>
      <c r="K32" s="370">
        <f>H32*I32-J32</f>
        <v>1261.98</v>
      </c>
      <c r="L32" s="370"/>
      <c r="M32" s="370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0"/>
      <c r="B33" s="369">
        <v>42221</v>
      </c>
      <c r="C33" s="370">
        <v>10</v>
      </c>
      <c r="D33" s="371">
        <v>31.45</v>
      </c>
      <c r="E33" s="371"/>
      <c r="F33" s="371">
        <f>C33*D33</f>
        <v>314.5</v>
      </c>
      <c r="G33" s="370"/>
      <c r="H33" s="370"/>
      <c r="I33" s="370"/>
      <c r="J33" s="370"/>
      <c r="K33" s="370"/>
      <c r="L33" s="370"/>
      <c r="M33" s="370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0"/>
      <c r="B34" s="369">
        <v>42233</v>
      </c>
      <c r="C34" s="370">
        <v>30</v>
      </c>
      <c r="D34" s="371">
        <v>29.9</v>
      </c>
      <c r="E34" s="371"/>
      <c r="F34" s="371">
        <f>C34*D34</f>
        <v>897</v>
      </c>
      <c r="G34" s="370"/>
      <c r="H34" s="370"/>
      <c r="I34" s="370"/>
      <c r="J34" s="370"/>
      <c r="K34" s="370"/>
      <c r="L34" s="370"/>
      <c r="M34" s="370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0"/>
      <c r="B35" s="370"/>
      <c r="C35" s="370"/>
      <c r="D35" s="371"/>
      <c r="E35" s="371"/>
      <c r="F35" s="371"/>
      <c r="G35" s="370"/>
      <c r="H35" s="370"/>
      <c r="I35" s="370"/>
      <c r="J35" s="370"/>
      <c r="K35" s="370"/>
      <c r="L35" s="370"/>
      <c r="M35" s="370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0"/>
      <c r="B36" s="370"/>
      <c r="C36" s="370"/>
      <c r="D36" s="371"/>
      <c r="E36" s="371"/>
      <c r="F36" s="371"/>
      <c r="G36" s="370"/>
      <c r="H36" s="370"/>
      <c r="I36" s="370"/>
      <c r="J36" s="370"/>
      <c r="K36" s="370"/>
      <c r="L36" s="370"/>
      <c r="M36" s="370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0"/>
      <c r="B37" s="370"/>
      <c r="C37" s="370"/>
      <c r="D37" s="371"/>
      <c r="E37" s="371"/>
      <c r="F37" s="371"/>
      <c r="G37" s="370"/>
      <c r="H37" s="370"/>
      <c r="I37" s="370"/>
      <c r="J37" s="370"/>
      <c r="K37" s="370"/>
      <c r="L37" s="370"/>
      <c r="M37" s="370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0"/>
      <c r="B38" s="370"/>
      <c r="C38" s="370"/>
      <c r="D38" s="371"/>
      <c r="E38" s="371"/>
      <c r="F38" s="371"/>
      <c r="G38" s="370"/>
      <c r="H38" s="370"/>
      <c r="I38" s="370"/>
      <c r="J38" s="370"/>
      <c r="K38" s="370"/>
      <c r="L38" s="370"/>
      <c r="M38" s="370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0"/>
      <c r="B39" s="370"/>
      <c r="C39" s="370"/>
      <c r="D39" s="371"/>
      <c r="E39" s="371"/>
      <c r="F39" s="371"/>
      <c r="G39" s="370"/>
      <c r="H39" s="370"/>
      <c r="I39" s="370"/>
      <c r="J39" s="370"/>
      <c r="K39" s="370"/>
      <c r="L39" s="370"/>
      <c r="M39" s="370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0"/>
      <c r="B40" s="370"/>
      <c r="C40" s="370"/>
      <c r="D40" s="371"/>
      <c r="E40" s="371"/>
      <c r="F40" s="371"/>
      <c r="G40" s="370"/>
      <c r="H40" s="370"/>
      <c r="I40" s="370"/>
      <c r="J40" s="370"/>
      <c r="K40" s="370"/>
      <c r="L40" s="370"/>
      <c r="M40" s="370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0"/>
      <c r="B41" s="370"/>
      <c r="C41" s="370"/>
      <c r="D41" s="371"/>
      <c r="E41" s="371"/>
      <c r="F41" s="371"/>
      <c r="G41" s="370"/>
      <c r="H41" s="370"/>
      <c r="I41" s="370"/>
      <c r="J41" s="370"/>
      <c r="K41" s="370"/>
      <c r="L41" s="370"/>
      <c r="M41" s="370"/>
      <c r="O41" s="811" t="s">
        <v>78</v>
      </c>
      <c r="P41" s="811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0"/>
      <c r="B42" s="370"/>
      <c r="C42" s="370"/>
      <c r="D42" s="371"/>
      <c r="E42" s="371"/>
      <c r="F42" s="371"/>
      <c r="G42" s="370"/>
      <c r="H42" s="370"/>
      <c r="I42" s="370"/>
      <c r="J42" s="370"/>
      <c r="K42" s="370"/>
      <c r="L42" s="370"/>
      <c r="M42" s="370"/>
      <c r="O42" s="81">
        <v>1.1000000000000001</v>
      </c>
      <c r="P42" s="81">
        <f>O42*$Q$4</f>
        <v>43.285000000000004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0"/>
      <c r="B43" s="370"/>
      <c r="C43" s="370"/>
      <c r="D43" s="371"/>
      <c r="E43" s="371"/>
      <c r="F43" s="371"/>
      <c r="G43" s="370"/>
      <c r="H43" s="370"/>
      <c r="I43" s="370"/>
      <c r="J43" s="370"/>
      <c r="K43" s="370"/>
      <c r="L43" s="370"/>
      <c r="M43" s="370"/>
      <c r="O43" s="81">
        <v>1.0900000000000001</v>
      </c>
      <c r="P43" s="81">
        <f t="shared" ref="P43:P62" si="2">O43*$Q$4</f>
        <v>42.891500000000008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0"/>
      <c r="B44" s="370"/>
      <c r="C44" s="370"/>
      <c r="D44" s="371"/>
      <c r="E44" s="371"/>
      <c r="F44" s="371"/>
      <c r="G44" s="370"/>
      <c r="H44" s="370"/>
      <c r="I44" s="370"/>
      <c r="J44" s="370"/>
      <c r="K44" s="370"/>
      <c r="L44" s="370"/>
      <c r="M44" s="370"/>
      <c r="O44" s="81">
        <v>1.08</v>
      </c>
      <c r="P44" s="81">
        <f t="shared" si="2"/>
        <v>42.498000000000005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0"/>
      <c r="B45" s="370"/>
      <c r="C45" s="370"/>
      <c r="D45" s="371"/>
      <c r="E45" s="371"/>
      <c r="F45" s="371"/>
      <c r="G45" s="370"/>
      <c r="H45" s="370"/>
      <c r="I45" s="370"/>
      <c r="J45" s="370"/>
      <c r="K45" s="370"/>
      <c r="L45" s="370"/>
      <c r="M45" s="370"/>
      <c r="O45" s="81">
        <v>1.07</v>
      </c>
      <c r="P45" s="81">
        <f t="shared" si="2"/>
        <v>42.104500000000002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0"/>
      <c r="B46" s="370"/>
      <c r="C46" s="370"/>
      <c r="D46" s="371"/>
      <c r="E46" s="371"/>
      <c r="F46" s="371"/>
      <c r="G46" s="370"/>
      <c r="H46" s="370"/>
      <c r="I46" s="370"/>
      <c r="J46" s="370"/>
      <c r="K46" s="370"/>
      <c r="L46" s="370"/>
      <c r="M46" s="370"/>
      <c r="O46" s="81">
        <v>1.06</v>
      </c>
      <c r="P46" s="81">
        <f t="shared" si="2"/>
        <v>41.711000000000006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41.317500000000003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40.923999999999999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40.530500000000004</v>
      </c>
      <c r="Q49" s="2"/>
      <c r="T49" s="10" t="s">
        <v>103</v>
      </c>
      <c r="U49" s="10" t="s">
        <v>545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40.137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39.743500000000004</v>
      </c>
      <c r="Q51" s="2"/>
      <c r="T51" s="10" t="s">
        <v>104</v>
      </c>
      <c r="U51" s="10" t="s">
        <v>696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39.35</v>
      </c>
      <c r="Q52" s="2"/>
      <c r="T52" s="10" t="s">
        <v>105</v>
      </c>
      <c r="U52" s="10" t="s">
        <v>496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38.956499999999998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38.563000000000002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38.169499999999999</v>
      </c>
      <c r="T55" s="10" t="s">
        <v>107</v>
      </c>
      <c r="U55" s="10" t="s">
        <v>697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37.776000000000003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37.3825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36.988999999999997</v>
      </c>
      <c r="T58" s="10" t="s">
        <v>108</v>
      </c>
      <c r="U58" s="10" t="s">
        <v>579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36.595500000000001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36.202000000000005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35.808500000000002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35.414999999999999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1" priority="7">
      <formula>F22&gt;0</formula>
    </cfRule>
    <cfRule type="expression" dxfId="490" priority="8">
      <formula>F22&lt;0</formula>
    </cfRule>
  </conditionalFormatting>
  <conditionalFormatting sqref="H22:H26">
    <cfRule type="expression" dxfId="489" priority="5">
      <formula>H22&gt;0</formula>
    </cfRule>
    <cfRule type="expression" dxfId="488" priority="6">
      <formula>H22&lt;0</formula>
    </cfRule>
  </conditionalFormatting>
  <conditionalFormatting sqref="Q8">
    <cfRule type="expression" dxfId="487" priority="1">
      <formula>Q8&gt;0</formula>
    </cfRule>
    <cfRule type="expression" dxfId="486" priority="2">
      <formula>Q8&lt;0</formula>
    </cfRule>
  </conditionalFormatting>
  <conditionalFormatting sqref="Q7">
    <cfRule type="expression" dxfId="485" priority="3">
      <formula>Q7&gt;0</formula>
    </cfRule>
    <cfRule type="expression" dxfId="48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208.58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208.58</v>
      </c>
      <c r="R4" s="486">
        <v>-1.0200000000000001E-2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4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4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6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6" t="s">
        <v>1</v>
      </c>
      <c r="B44" s="376" t="s">
        <v>2</v>
      </c>
      <c r="C44" s="376" t="s">
        <v>4</v>
      </c>
      <c r="D44" s="376" t="s">
        <v>5</v>
      </c>
      <c r="E44" s="378" t="s">
        <v>94</v>
      </c>
      <c r="F44" s="376" t="s">
        <v>60</v>
      </c>
      <c r="G44" s="376" t="s">
        <v>3</v>
      </c>
      <c r="H44" s="376" t="s">
        <v>6</v>
      </c>
      <c r="I44" s="376" t="s">
        <v>7</v>
      </c>
      <c r="J44" s="376" t="s">
        <v>95</v>
      </c>
      <c r="K44" s="376" t="s">
        <v>61</v>
      </c>
      <c r="L44" s="376" t="s">
        <v>77</v>
      </c>
      <c r="M44" s="376" t="s">
        <v>38</v>
      </c>
      <c r="T44" s="91" t="s">
        <v>98</v>
      </c>
      <c r="U44" s="424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9" t="s">
        <v>0</v>
      </c>
      <c r="B45" s="634">
        <v>42403</v>
      </c>
      <c r="C45" s="370">
        <v>10</v>
      </c>
      <c r="D45" s="371">
        <v>123.5</v>
      </c>
      <c r="E45" s="371">
        <v>0</v>
      </c>
      <c r="F45" s="371">
        <f>D45*C45+E45</f>
        <v>1235</v>
      </c>
      <c r="G45" s="634">
        <v>42436</v>
      </c>
      <c r="H45" s="374">
        <v>10</v>
      </c>
      <c r="I45" s="371">
        <v>140.65</v>
      </c>
      <c r="J45" s="371">
        <v>0.03</v>
      </c>
      <c r="K45" s="370">
        <f>I45*H45-J45</f>
        <v>1406.47</v>
      </c>
      <c r="L45" s="369"/>
      <c r="M45" s="371"/>
      <c r="O45" s="811" t="s">
        <v>78</v>
      </c>
      <c r="P45" s="811"/>
      <c r="T45" s="91" t="s">
        <v>99</v>
      </c>
      <c r="U45" s="424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0" t="s">
        <v>71</v>
      </c>
      <c r="B46" s="559">
        <v>42702</v>
      </c>
      <c r="C46" s="510">
        <v>20</v>
      </c>
      <c r="D46" s="512">
        <v>139.88</v>
      </c>
      <c r="E46" s="512">
        <v>0</v>
      </c>
      <c r="F46" s="512">
        <f>C46*D46 + E46</f>
        <v>2797.6</v>
      </c>
      <c r="G46" s="559">
        <v>42766</v>
      </c>
      <c r="H46" s="510">
        <v>10</v>
      </c>
      <c r="I46" s="512">
        <v>149.08000000000001</v>
      </c>
      <c r="J46" s="512">
        <v>0.03</v>
      </c>
      <c r="K46" s="512">
        <f>H46*I46 - J46</f>
        <v>1490.7700000000002</v>
      </c>
      <c r="L46" s="509">
        <v>42753</v>
      </c>
      <c r="M46" s="512">
        <v>3</v>
      </c>
      <c r="O46" s="81">
        <v>1.1000000000000001</v>
      </c>
      <c r="P46" s="81">
        <f>O46*$Q$4</f>
        <v>229.43800000000005</v>
      </c>
      <c r="Q46" s="2"/>
      <c r="T46" s="91" t="s">
        <v>100</v>
      </c>
      <c r="U46" s="424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0"/>
      <c r="B47" s="559">
        <v>42767</v>
      </c>
      <c r="C47" s="510">
        <v>10</v>
      </c>
      <c r="D47" s="512">
        <v>152.69999999999999</v>
      </c>
      <c r="E47" s="512">
        <v>0</v>
      </c>
      <c r="F47" s="512">
        <f>C47*D47 + E47</f>
        <v>1527</v>
      </c>
      <c r="G47" s="559">
        <v>42767</v>
      </c>
      <c r="H47" s="527">
        <v>10</v>
      </c>
      <c r="I47" s="512">
        <v>154.6</v>
      </c>
      <c r="J47" s="512">
        <v>0.03</v>
      </c>
      <c r="K47" s="512">
        <f>H47*I47 - J47</f>
        <v>1545.97</v>
      </c>
      <c r="L47" s="509"/>
      <c r="M47" s="512"/>
      <c r="O47" s="81">
        <v>1.0900000000000001</v>
      </c>
      <c r="P47" s="81">
        <f t="shared" ref="P47:P66" si="0">O47*$Q$4</f>
        <v>227.35220000000004</v>
      </c>
      <c r="Q47" s="2"/>
      <c r="T47" s="91" t="s">
        <v>101</v>
      </c>
      <c r="U47" s="424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0"/>
      <c r="B48" s="559"/>
      <c r="C48" s="510"/>
      <c r="D48" s="512"/>
      <c r="E48" s="512"/>
      <c r="F48" s="512"/>
      <c r="G48" s="559">
        <v>42803</v>
      </c>
      <c r="H48" s="527">
        <v>10</v>
      </c>
      <c r="I48" s="510">
        <v>157.9</v>
      </c>
      <c r="J48" s="512">
        <v>0.03</v>
      </c>
      <c r="K48" s="512">
        <f>H48*I48 - J48</f>
        <v>1578.97</v>
      </c>
      <c r="L48" s="510"/>
      <c r="M48" s="510"/>
      <c r="O48" s="81">
        <v>1.08</v>
      </c>
      <c r="P48" s="81">
        <f t="shared" si="0"/>
        <v>225.26640000000003</v>
      </c>
      <c r="Q48" s="2"/>
      <c r="T48" s="91" t="s">
        <v>102</v>
      </c>
      <c r="U48" s="424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0"/>
      <c r="B49" s="559"/>
      <c r="C49" s="510"/>
      <c r="D49" s="512"/>
      <c r="E49" s="512"/>
      <c r="F49" s="512"/>
      <c r="G49" s="559"/>
      <c r="H49" s="527"/>
      <c r="I49" s="512"/>
      <c r="J49" s="512"/>
      <c r="K49" s="510"/>
      <c r="L49" s="510"/>
      <c r="M49" s="510"/>
      <c r="O49" s="81">
        <v>1.07</v>
      </c>
      <c r="P49" s="81">
        <f t="shared" si="0"/>
        <v>223.18060000000003</v>
      </c>
      <c r="Q49" s="2"/>
      <c r="T49" s="91" t="s">
        <v>103</v>
      </c>
      <c r="U49" s="424" t="s">
        <v>580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0"/>
      <c r="B50" s="634"/>
      <c r="C50" s="370"/>
      <c r="D50" s="371"/>
      <c r="E50" s="371"/>
      <c r="F50" s="371"/>
      <c r="G50" s="634"/>
      <c r="H50" s="370"/>
      <c r="I50" s="370"/>
      <c r="J50" s="370"/>
      <c r="K50" s="370"/>
      <c r="L50" s="370"/>
      <c r="M50" s="370"/>
      <c r="O50" s="81">
        <v>1.06</v>
      </c>
      <c r="P50" s="81">
        <f t="shared" si="0"/>
        <v>221.09480000000002</v>
      </c>
      <c r="Q50" s="2"/>
      <c r="T50" s="91"/>
      <c r="U50" s="424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0"/>
      <c r="B51" s="634"/>
      <c r="C51" s="370"/>
      <c r="D51" s="371"/>
      <c r="E51" s="371"/>
      <c r="F51" s="371"/>
      <c r="G51" s="634"/>
      <c r="H51" s="370"/>
      <c r="I51" s="370"/>
      <c r="J51" s="370"/>
      <c r="K51" s="370"/>
      <c r="L51" s="370"/>
      <c r="M51" s="370"/>
      <c r="O51" s="81">
        <v>1.05</v>
      </c>
      <c r="P51" s="81">
        <f t="shared" si="0"/>
        <v>219.00900000000001</v>
      </c>
      <c r="Q51" s="2"/>
      <c r="T51" s="91" t="s">
        <v>104</v>
      </c>
      <c r="U51" s="424" t="s">
        <v>698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0"/>
      <c r="B52" s="634"/>
      <c r="C52" s="370"/>
      <c r="D52" s="371"/>
      <c r="E52" s="371"/>
      <c r="F52" s="371"/>
      <c r="G52" s="634"/>
      <c r="H52" s="370"/>
      <c r="I52" s="370"/>
      <c r="J52" s="370"/>
      <c r="K52" s="370"/>
      <c r="L52" s="370"/>
      <c r="M52" s="370"/>
      <c r="O52" s="81">
        <v>1.04</v>
      </c>
      <c r="P52" s="81">
        <f t="shared" si="0"/>
        <v>216.92320000000001</v>
      </c>
      <c r="Q52" s="2"/>
      <c r="T52" s="91" t="s">
        <v>105</v>
      </c>
      <c r="U52" s="424" t="s">
        <v>546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0"/>
      <c r="B53" s="634"/>
      <c r="C53" s="370"/>
      <c r="D53" s="370"/>
      <c r="E53" s="371"/>
      <c r="F53" s="370"/>
      <c r="G53" s="634"/>
      <c r="H53" s="370"/>
      <c r="I53" s="370"/>
      <c r="J53" s="370"/>
      <c r="K53" s="370"/>
      <c r="L53" s="370"/>
      <c r="M53" s="370"/>
      <c r="O53" s="81">
        <v>1.03</v>
      </c>
      <c r="P53" s="81">
        <f t="shared" si="0"/>
        <v>214.83740000000003</v>
      </c>
      <c r="Q53" s="2"/>
      <c r="T53" s="91" t="s">
        <v>106</v>
      </c>
      <c r="U53" s="425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212.75160000000002</v>
      </c>
      <c r="Q54" s="2"/>
      <c r="T54" s="91" t="s">
        <v>109</v>
      </c>
      <c r="U54" s="425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0"/>
      <c r="B55" s="370"/>
      <c r="C55" s="370"/>
      <c r="D55" s="370"/>
      <c r="E55" s="371"/>
      <c r="F55" s="370"/>
      <c r="G55" s="370"/>
      <c r="H55" s="370"/>
      <c r="I55" s="370"/>
      <c r="J55" s="370"/>
      <c r="K55" s="370"/>
      <c r="L55" s="370"/>
      <c r="M55" s="370"/>
      <c r="O55" s="81">
        <v>1.01</v>
      </c>
      <c r="P55" s="81">
        <f t="shared" si="0"/>
        <v>210.66580000000002</v>
      </c>
      <c r="Q55" s="2"/>
      <c r="T55" s="91" t="s">
        <v>107</v>
      </c>
      <c r="U55" s="424" t="s">
        <v>699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208.58</v>
      </c>
      <c r="Q56" s="2"/>
      <c r="T56" s="91" t="s">
        <v>110</v>
      </c>
      <c r="U56" s="424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206.49420000000001</v>
      </c>
      <c r="Q57" s="2"/>
      <c r="T57" s="91" t="s">
        <v>111</v>
      </c>
      <c r="U57" s="424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204.4084</v>
      </c>
      <c r="Q58" s="2"/>
      <c r="T58" s="91" t="s">
        <v>108</v>
      </c>
      <c r="U58" s="424" t="s">
        <v>537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202.32259999999999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200.23680000000002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198.15100000000001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196.0652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193.97940000000003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191.89360000000002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189.80780000000001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187.72200000000001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83" priority="17">
      <formula>F21&gt;0</formula>
    </cfRule>
    <cfRule type="expression" dxfId="482" priority="18">
      <formula>F21&lt;0</formula>
    </cfRule>
  </conditionalFormatting>
  <conditionalFormatting sqref="H26 H31:H41 H21">
    <cfRule type="expression" dxfId="481" priority="15">
      <formula>H21&gt;0</formula>
    </cfRule>
    <cfRule type="expression" dxfId="480" priority="16">
      <formula>H21&lt;0</formula>
    </cfRule>
  </conditionalFormatting>
  <conditionalFormatting sqref="Q7">
    <cfRule type="expression" dxfId="479" priority="9">
      <formula>Q7&gt;0</formula>
    </cfRule>
    <cfRule type="expression" dxfId="478" priority="10">
      <formula>Q7&lt;0</formula>
    </cfRule>
  </conditionalFormatting>
  <conditionalFormatting sqref="Q8">
    <cfRule type="expression" dxfId="477" priority="7">
      <formula>Q8&gt;0</formula>
    </cfRule>
    <cfRule type="expression" dxfId="476" priority="8">
      <formula>Q8&lt;0</formula>
    </cfRule>
  </conditionalFormatting>
  <conditionalFormatting sqref="F27:F30 F22:F25">
    <cfRule type="expression" dxfId="475" priority="5">
      <formula>F22&gt;0</formula>
    </cfRule>
    <cfRule type="expression" dxfId="474" priority="6">
      <formula>F22&lt;0</formula>
    </cfRule>
  </conditionalFormatting>
  <conditionalFormatting sqref="H27:H30 H22:H25">
    <cfRule type="expression" dxfId="473" priority="3">
      <formula>H22&gt;0</formula>
    </cfRule>
    <cfRule type="expression" dxfId="472" priority="4">
      <formula>H22&lt;0</formula>
    </cfRule>
  </conditionalFormatting>
  <conditionalFormatting sqref="M43">
    <cfRule type="expression" dxfId="471" priority="1">
      <formula>M43&gt;0</formula>
    </cfRule>
    <cfRule type="expression" dxfId="47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43.8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43.8</v>
      </c>
      <c r="R4" s="486">
        <v>-2.9899999999999999E-2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6" t="s">
        <v>1</v>
      </c>
      <c r="B37" s="376" t="s">
        <v>2</v>
      </c>
      <c r="C37" s="376" t="s">
        <v>4</v>
      </c>
      <c r="D37" s="376" t="s">
        <v>5</v>
      </c>
      <c r="E37" s="378" t="s">
        <v>94</v>
      </c>
      <c r="F37" s="376" t="s">
        <v>60</v>
      </c>
      <c r="G37" s="376" t="s">
        <v>3</v>
      </c>
      <c r="H37" s="376" t="s">
        <v>6</v>
      </c>
      <c r="I37" s="376" t="s">
        <v>7</v>
      </c>
      <c r="J37" s="376" t="s">
        <v>95</v>
      </c>
      <c r="K37" s="376" t="s">
        <v>61</v>
      </c>
      <c r="L37" s="376" t="s">
        <v>77</v>
      </c>
      <c r="M37" s="376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9" t="s">
        <v>39</v>
      </c>
      <c r="B38" s="369">
        <v>42179</v>
      </c>
      <c r="C38" s="370">
        <v>10</v>
      </c>
      <c r="D38" s="371">
        <v>37.799999999999997</v>
      </c>
      <c r="E38" s="371">
        <v>0</v>
      </c>
      <c r="F38" s="371">
        <f t="shared" ref="F38:F45" si="4">C38*D38</f>
        <v>378</v>
      </c>
      <c r="G38" s="369">
        <v>42310</v>
      </c>
      <c r="H38" s="374">
        <v>170</v>
      </c>
      <c r="I38" s="371">
        <v>30.28</v>
      </c>
      <c r="J38" s="371">
        <v>7.04</v>
      </c>
      <c r="K38" s="370">
        <f>H38*I38-J38</f>
        <v>5140.5600000000004</v>
      </c>
      <c r="L38" s="369">
        <v>42250</v>
      </c>
      <c r="M38" s="371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0" t="s">
        <v>71</v>
      </c>
      <c r="B39" s="369">
        <v>42194</v>
      </c>
      <c r="C39" s="370">
        <v>10</v>
      </c>
      <c r="D39" s="371">
        <v>35.5</v>
      </c>
      <c r="E39" s="371">
        <v>0</v>
      </c>
      <c r="F39" s="371">
        <f t="shared" si="4"/>
        <v>355</v>
      </c>
      <c r="G39" s="369">
        <v>42314</v>
      </c>
      <c r="H39" s="374">
        <v>80</v>
      </c>
      <c r="I39" s="371">
        <v>32.5</v>
      </c>
      <c r="J39" s="371">
        <v>0.05</v>
      </c>
      <c r="K39" s="370">
        <f>H39*I39-J39</f>
        <v>2599.9499999999998</v>
      </c>
      <c r="L39" s="369">
        <v>42345</v>
      </c>
      <c r="M39" s="371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0"/>
      <c r="B40" s="369">
        <v>42230</v>
      </c>
      <c r="C40" s="370">
        <v>20</v>
      </c>
      <c r="D40" s="371">
        <v>32.9</v>
      </c>
      <c r="E40" s="371">
        <v>0</v>
      </c>
      <c r="F40" s="371">
        <f t="shared" si="4"/>
        <v>658</v>
      </c>
      <c r="G40" s="369">
        <v>42010</v>
      </c>
      <c r="H40" s="374">
        <v>40</v>
      </c>
      <c r="I40" s="370">
        <v>28.92</v>
      </c>
      <c r="J40" s="371">
        <v>0.02</v>
      </c>
      <c r="K40" s="370">
        <f>H40*I40-J40</f>
        <v>1156.7800000000002</v>
      </c>
      <c r="L40" s="370"/>
      <c r="M40" s="370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0"/>
      <c r="B41" s="369">
        <v>42240</v>
      </c>
      <c r="C41" s="370">
        <v>40</v>
      </c>
      <c r="D41" s="371">
        <v>32.4</v>
      </c>
      <c r="E41" s="371">
        <v>0</v>
      </c>
      <c r="F41" s="371">
        <f t="shared" si="4"/>
        <v>1296</v>
      </c>
      <c r="G41" s="369">
        <v>42404</v>
      </c>
      <c r="H41" s="374">
        <v>90</v>
      </c>
      <c r="I41" s="371">
        <v>28.55</v>
      </c>
      <c r="J41" s="371">
        <v>0.05</v>
      </c>
      <c r="K41" s="370">
        <f>H41*I41-J41</f>
        <v>2569.4499999999998</v>
      </c>
      <c r="L41" s="370"/>
      <c r="M41" s="370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0"/>
      <c r="B42" s="369">
        <v>42275</v>
      </c>
      <c r="C42" s="370">
        <v>90</v>
      </c>
      <c r="D42" s="371">
        <v>29.2</v>
      </c>
      <c r="E42" s="371">
        <v>0</v>
      </c>
      <c r="F42" s="371">
        <f t="shared" si="4"/>
        <v>2628</v>
      </c>
      <c r="G42" s="369">
        <v>42412</v>
      </c>
      <c r="H42" s="374">
        <v>90</v>
      </c>
      <c r="I42" s="371">
        <v>29.55</v>
      </c>
      <c r="J42" s="371">
        <v>0.06</v>
      </c>
      <c r="K42" s="370">
        <f>H42*I42-J42</f>
        <v>2659.44</v>
      </c>
      <c r="L42" s="370"/>
      <c r="M42" s="370"/>
      <c r="O42" s="407" t="s">
        <v>78</v>
      </c>
      <c r="P42" s="407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0"/>
      <c r="B43" s="369">
        <v>42298</v>
      </c>
      <c r="C43" s="370">
        <v>170</v>
      </c>
      <c r="D43" s="371">
        <v>28.4</v>
      </c>
      <c r="E43" s="371">
        <v>0</v>
      </c>
      <c r="F43" s="371">
        <f t="shared" si="4"/>
        <v>4828</v>
      </c>
      <c r="G43" s="370"/>
      <c r="H43" s="370"/>
      <c r="I43" s="370"/>
      <c r="J43" s="370"/>
      <c r="K43" s="370"/>
      <c r="L43" s="370"/>
      <c r="M43" s="370"/>
      <c r="O43" s="81">
        <v>1.1000000000000001</v>
      </c>
      <c r="P43" s="81">
        <f>O43*$Q$4</f>
        <v>48.18</v>
      </c>
      <c r="T43" s="91" t="s">
        <v>97</v>
      </c>
      <c r="U43" s="424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0"/>
      <c r="B44" s="369">
        <v>42360</v>
      </c>
      <c r="C44" s="370">
        <v>40</v>
      </c>
      <c r="D44" s="371">
        <v>27.25</v>
      </c>
      <c r="E44" s="371">
        <v>0</v>
      </c>
      <c r="F44" s="371">
        <f t="shared" si="4"/>
        <v>1090</v>
      </c>
      <c r="G44" s="370"/>
      <c r="H44" s="370"/>
      <c r="I44" s="370"/>
      <c r="J44" s="370"/>
      <c r="K44" s="370"/>
      <c r="L44" s="370"/>
      <c r="M44" s="370"/>
      <c r="O44" s="81">
        <v>1.0900000000000001</v>
      </c>
      <c r="P44" s="81">
        <f t="shared" ref="P44:P63" si="5">O44*$Q$4</f>
        <v>47.741999999999997</v>
      </c>
      <c r="T44" s="91" t="s">
        <v>98</v>
      </c>
      <c r="U44" s="424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0"/>
      <c r="B45" s="369">
        <v>42376</v>
      </c>
      <c r="C45" s="370">
        <v>90</v>
      </c>
      <c r="D45" s="371">
        <v>26.75</v>
      </c>
      <c r="E45" s="371">
        <v>0</v>
      </c>
      <c r="F45" s="371">
        <f t="shared" si="4"/>
        <v>2407.5</v>
      </c>
      <c r="G45" s="370"/>
      <c r="H45" s="370"/>
      <c r="I45" s="370"/>
      <c r="J45" s="370"/>
      <c r="K45" s="370"/>
      <c r="L45" s="370"/>
      <c r="M45" s="370"/>
      <c r="O45" s="81">
        <v>1.08</v>
      </c>
      <c r="P45" s="81">
        <f t="shared" si="5"/>
        <v>47.304000000000002</v>
      </c>
      <c r="T45" s="91" t="s">
        <v>99</v>
      </c>
      <c r="U45" s="424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0"/>
      <c r="B46" s="370"/>
      <c r="C46" s="370"/>
      <c r="D46" s="370"/>
      <c r="E46" s="371"/>
      <c r="F46" s="370"/>
      <c r="G46" s="370"/>
      <c r="H46" s="370"/>
      <c r="I46" s="370"/>
      <c r="J46" s="370"/>
      <c r="K46" s="370"/>
      <c r="L46" s="370"/>
      <c r="M46" s="370"/>
      <c r="O46" s="81">
        <v>1.07</v>
      </c>
      <c r="P46" s="81">
        <f t="shared" si="5"/>
        <v>46.866</v>
      </c>
      <c r="Q46" s="2"/>
      <c r="T46" s="91" t="s">
        <v>100</v>
      </c>
      <c r="U46" s="424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46.427999999999997</v>
      </c>
      <c r="Q47" s="2"/>
      <c r="T47" s="91" t="s">
        <v>101</v>
      </c>
      <c r="U47" s="424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0"/>
      <c r="B48" s="370"/>
      <c r="C48" s="370"/>
      <c r="D48" s="370"/>
      <c r="E48" s="371"/>
      <c r="F48" s="370"/>
      <c r="G48" s="370"/>
      <c r="H48" s="370"/>
      <c r="I48" s="370"/>
      <c r="J48" s="370"/>
      <c r="K48" s="370"/>
      <c r="L48" s="370"/>
      <c r="M48" s="370"/>
      <c r="O48" s="81">
        <v>1.05</v>
      </c>
      <c r="P48" s="81">
        <f t="shared" si="5"/>
        <v>45.99</v>
      </c>
      <c r="Q48" s="2"/>
      <c r="T48" s="91" t="s">
        <v>102</v>
      </c>
      <c r="U48" s="424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45.552</v>
      </c>
      <c r="Q49" s="2"/>
      <c r="T49" s="91" t="s">
        <v>121</v>
      </c>
      <c r="U49" s="424" t="s">
        <v>383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45.113999999999997</v>
      </c>
      <c r="Q50" s="2"/>
      <c r="T50" s="91"/>
      <c r="U50" s="424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44.675999999999995</v>
      </c>
      <c r="Q51" s="2"/>
      <c r="T51" s="91" t="s">
        <v>104</v>
      </c>
      <c r="U51" s="424" t="s">
        <v>700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44.238</v>
      </c>
      <c r="Q52" s="2"/>
      <c r="T52" s="91" t="s">
        <v>105</v>
      </c>
      <c r="U52" s="424" t="s">
        <v>460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43.8</v>
      </c>
      <c r="Q53" s="2"/>
      <c r="T53" s="91" t="s">
        <v>106</v>
      </c>
      <c r="U53" s="425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43.361999999999995</v>
      </c>
      <c r="Q54" s="2"/>
      <c r="T54" s="91" t="s">
        <v>109</v>
      </c>
      <c r="U54" s="425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42.923999999999999</v>
      </c>
      <c r="Q55" s="2"/>
      <c r="T55" s="91" t="s">
        <v>107</v>
      </c>
      <c r="U55" s="424" t="s">
        <v>701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42.485999999999997</v>
      </c>
      <c r="Q56" s="2"/>
      <c r="T56" s="91" t="s">
        <v>110</v>
      </c>
      <c r="U56" s="424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42.047999999999995</v>
      </c>
      <c r="Q57" s="2"/>
      <c r="T57" s="91" t="s">
        <v>111</v>
      </c>
      <c r="U57" s="424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41.609999999999992</v>
      </c>
      <c r="Q58" s="2"/>
      <c r="T58" s="91" t="s">
        <v>108</v>
      </c>
      <c r="U58" s="424" t="s">
        <v>581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41.171999999999997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40.734000000000002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40.295999999999999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39.857999999999997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39.42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469" priority="7">
      <formula>F21&gt;0</formula>
    </cfRule>
    <cfRule type="expression" dxfId="468" priority="8">
      <formula>F21&lt;0</formula>
    </cfRule>
  </conditionalFormatting>
  <conditionalFormatting sqref="H21:H32">
    <cfRule type="expression" dxfId="467" priority="5">
      <formula>H21&gt;0</formula>
    </cfRule>
    <cfRule type="expression" dxfId="466" priority="6">
      <formula>H21&lt;0</formula>
    </cfRule>
  </conditionalFormatting>
  <conditionalFormatting sqref="Q8">
    <cfRule type="expression" dxfId="465" priority="1">
      <formula>Q8&gt;0</formula>
    </cfRule>
    <cfRule type="expression" dxfId="464" priority="2">
      <formula>Q8&lt;0</formula>
    </cfRule>
  </conditionalFormatting>
  <conditionalFormatting sqref="Q7">
    <cfRule type="expression" dxfId="463" priority="3">
      <formula>Q7&gt;0</formula>
    </cfRule>
    <cfRule type="expression" dxfId="46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134.74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134.74</v>
      </c>
      <c r="R4" s="486">
        <v>6.3E-3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11" t="s">
        <v>78</v>
      </c>
      <c r="Q39" s="811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148.21400000000003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146.86660000000003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145.51920000000001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144.17180000000002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142.82440000000003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141.477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140.12960000000001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138.78220000000002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137.43480000000002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136.0874</v>
      </c>
      <c r="T49" s="91" t="s">
        <v>121</v>
      </c>
      <c r="U49" s="86" t="s">
        <v>383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134.74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133.39260000000002</v>
      </c>
      <c r="T51" s="91" t="s">
        <v>104</v>
      </c>
      <c r="U51" s="86" t="s">
        <v>702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132.04519999999999</v>
      </c>
      <c r="T52" s="91" t="s">
        <v>105</v>
      </c>
      <c r="U52" s="86" t="s">
        <v>518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130.6978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129.35040000000001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128.00300000000001</v>
      </c>
      <c r="T55" s="91" t="s">
        <v>107</v>
      </c>
      <c r="U55" s="86" t="s">
        <v>703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126.65560000000001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125.30820000000001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123.96080000000002</v>
      </c>
      <c r="T58" s="91" t="s">
        <v>108</v>
      </c>
      <c r="U58" s="86" t="s">
        <v>582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122.61340000000001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121.26600000000001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461" priority="3">
      <formula>Q7&gt;0</formula>
    </cfRule>
    <cfRule type="expression" dxfId="460" priority="4">
      <formula>Q7&lt;0</formula>
    </cfRule>
  </conditionalFormatting>
  <conditionalFormatting sqref="Q8">
    <cfRule type="expression" dxfId="459" priority="1">
      <formula>Q8&gt;0</formula>
    </cfRule>
    <cfRule type="expression" dxfId="45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226.16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226.16</v>
      </c>
      <c r="R4" s="486">
        <v>-2.7099999999999999E-2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11" t="s">
        <v>78</v>
      </c>
      <c r="P41" s="811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248.77600000000001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246.51440000000002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8" t="s">
        <v>81</v>
      </c>
      <c r="B44" s="409"/>
      <c r="C44" s="409">
        <f>SUM(C35:C40)</f>
        <v>70</v>
      </c>
      <c r="D44" s="410"/>
      <c r="E44" s="410"/>
      <c r="F44" s="410">
        <f>SUM(F35:F40)</f>
        <v>8027.9</v>
      </c>
      <c r="G44" s="410"/>
      <c r="H44" s="411">
        <f>SUM(H35:H39)</f>
        <v>70</v>
      </c>
      <c r="I44" s="410"/>
      <c r="J44" s="410"/>
      <c r="K44" s="410">
        <f>SUM(K35:K39)</f>
        <v>8192.1</v>
      </c>
      <c r="L44" s="410"/>
      <c r="M44" s="410">
        <f>SUM(M35:M38)</f>
        <v>12.5</v>
      </c>
      <c r="O44" s="81">
        <v>1.08</v>
      </c>
      <c r="P44" s="81">
        <f t="shared" si="5"/>
        <v>244.25280000000001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241.99120000000002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239.7296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237.46800000000002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235.2064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232.94480000000001</v>
      </c>
      <c r="Q49" s="81"/>
      <c r="T49" s="91" t="s">
        <v>103</v>
      </c>
      <c r="U49" s="86" t="s">
        <v>532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230.6832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228.42160000000001</v>
      </c>
      <c r="Q51" s="81"/>
      <c r="T51" s="91" t="s">
        <v>104</v>
      </c>
      <c r="U51" s="86" t="s">
        <v>704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226.16</v>
      </c>
      <c r="Q52" s="81"/>
      <c r="T52" s="91" t="s">
        <v>105</v>
      </c>
      <c r="U52" s="86" t="s">
        <v>527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223.89839999999998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221.63679999999999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219.37519999999998</v>
      </c>
      <c r="Q55" s="81"/>
      <c r="T55" s="91" t="s">
        <v>107</v>
      </c>
      <c r="U55" s="86" t="s">
        <v>705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217.11359999999999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214.85199999999998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212.59039999999999</v>
      </c>
      <c r="Q58" s="81"/>
      <c r="T58" s="91" t="s">
        <v>108</v>
      </c>
      <c r="U58" s="86" t="s">
        <v>583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210.3288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208.06720000000001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205.8056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203.54400000000001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57" priority="13">
      <formula>F21&gt;0</formula>
    </cfRule>
    <cfRule type="expression" dxfId="456" priority="14">
      <formula>F21&lt;0</formula>
    </cfRule>
  </conditionalFormatting>
  <conditionalFormatting sqref="F22">
    <cfRule type="expression" dxfId="455" priority="11">
      <formula>F22&gt;0</formula>
    </cfRule>
    <cfRule type="expression" dxfId="454" priority="12">
      <formula>F22&lt;0</formula>
    </cfRule>
  </conditionalFormatting>
  <conditionalFormatting sqref="F23:F30">
    <cfRule type="expression" dxfId="453" priority="9">
      <formula>F23&gt;0</formula>
    </cfRule>
    <cfRule type="expression" dxfId="452" priority="10">
      <formula>F23&lt;0</formula>
    </cfRule>
  </conditionalFormatting>
  <conditionalFormatting sqref="H21:H31">
    <cfRule type="expression" dxfId="451" priority="7">
      <formula>H21&gt;0</formula>
    </cfRule>
    <cfRule type="expression" dxfId="450" priority="8">
      <formula>H21&lt;0</formula>
    </cfRule>
  </conditionalFormatting>
  <conditionalFormatting sqref="F24">
    <cfRule type="expression" dxfId="449" priority="5">
      <formula>F24&gt;0</formula>
    </cfRule>
    <cfRule type="expression" dxfId="448" priority="6">
      <formula>F24&lt;0</formula>
    </cfRule>
  </conditionalFormatting>
  <conditionalFormatting sqref="Q8">
    <cfRule type="expression" dxfId="447" priority="1">
      <formula>Q8&gt;0</formula>
    </cfRule>
    <cfRule type="expression" dxfId="446" priority="2">
      <formula>Q8&lt;0</formula>
    </cfRule>
  </conditionalFormatting>
  <conditionalFormatting sqref="Q7">
    <cfRule type="expression" dxfId="445" priority="3">
      <formula>Q7&gt;0</formula>
    </cfRule>
    <cfRule type="expression" dxfId="44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79</vt:i4>
      </vt:variant>
      <vt:variant>
        <vt:lpstr>Named Ranges</vt:lpstr>
      </vt:variant>
      <vt:variant>
        <vt:i4>91</vt:i4>
      </vt:variant>
    </vt:vector>
  </HeadingPairs>
  <TitlesOfParts>
    <vt:vector size="17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2018-03-01T00:22:55Z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