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3.xml" ContentType="application/vnd.openxmlformats-officedocument.spreadsheetml.tab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0.xml" ContentType="application/vnd.openxmlformats-officedocument.drawing+xml"/>
  <Override PartName="/xl/queryTables/queryTable57.xml" ContentType="application/vnd.openxmlformats-officedocument.spreadsheetml.queryTab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4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3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7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r:id="rId34"/>
    <sheet name="AZO" sheetId="83" state="hidden" r:id="rId35"/>
    <sheet name="AYI" sheetId="92" r:id="rId36"/>
    <sheet name="DIA" sheetId="91" state="hidden" r:id="rId37"/>
    <sheet name="NKE" sheetId="50" r:id="rId38"/>
    <sheet name="MOS" sheetId="58" r:id="rId39"/>
    <sheet name="VGK" sheetId="59" state="hidden" r:id="rId40"/>
    <sheet name="CMG" sheetId="87" state="hidden" r:id="rId41"/>
    <sheet name="HAS" sheetId="90" state="hidden" r:id="rId42"/>
    <sheet name="HSIC" sheetId="82" state="hidden" r:id="rId43"/>
    <sheet name="PDCO" sheetId="88" state="hidden" r:id="rId44"/>
    <sheet name="MU" sheetId="17" r:id="rId45"/>
    <sheet name="IP" sheetId="44" r:id="rId46"/>
    <sheet name="INTC" sheetId="13" state="hidden" r:id="rId47"/>
    <sheet name="HES" sheetId="10" state="hidden" r:id="rId48"/>
    <sheet name="UNP" sheetId="20" state="hidden" r:id="rId49"/>
    <sheet name="NCLH" sheetId="67" state="hidden" r:id="rId50"/>
    <sheet name="SPY" sheetId="47" state="hidden" r:id="rId51"/>
    <sheet name="SWKS" sheetId="41" state="hidden" r:id="rId52"/>
    <sheet name="CNI" sheetId="42" state="hidden" r:id="rId53"/>
    <sheet name="WFC" sheetId="45" state="hidden" r:id="rId54"/>
    <sheet name="AA" sheetId="3" r:id="rId55"/>
    <sheet name="CF" sheetId="61" r:id="rId56"/>
    <sheet name="TGT" sheetId="75" r:id="rId57"/>
    <sheet name="NWL" sheetId="46" state="hidden" r:id="rId58"/>
    <sheet name="KORS" sheetId="16" state="hidden" r:id="rId59"/>
    <sheet name="ALL" sheetId="22" state="hidden" r:id="rId60"/>
    <sheet name="NSC" sheetId="24" state="hidden" r:id="rId61"/>
    <sheet name="AVGO" sheetId="15" state="hidden" r:id="rId62"/>
    <sheet name="UAL" sheetId="52" r:id="rId63"/>
    <sheet name="CAH" sheetId="53" r:id="rId64"/>
    <sheet name="DAL" sheetId="49" state="hidden" r:id="rId65"/>
    <sheet name="TEVA" sheetId="74" state="hidden" r:id="rId66"/>
    <sheet name="DIS" sheetId="34" state="hidden" r:id="rId67"/>
    <sheet name="FTR" sheetId="40" state="hidden" r:id="rId68"/>
    <sheet name="GILD" sheetId="31" r:id="rId69"/>
    <sheet name="WWD" sheetId="28" state="hidden" r:id="rId70"/>
    <sheet name="GIS" sheetId="43" state="hidden" r:id="rId71"/>
    <sheet name="GM" sheetId="29" state="hidden" r:id="rId72"/>
    <sheet name="TMO" sheetId="48" state="hidden" r:id="rId73"/>
    <sheet name="TKR" sheetId="32" state="hidden" r:id="rId74"/>
    <sheet name="UTX" sheetId="30" state="hidden" r:id="rId75"/>
    <sheet name="UNH" sheetId="26" state="hidden" r:id="rId76"/>
  </sheets>
  <functionGroups builtInGroupCount="18"/>
  <definedNames>
    <definedName name="_xlnm._FilterDatabase" localSheetId="0" hidden="1">ACTIVE!$E$1:$M$26</definedName>
    <definedName name="hp?s_AA_Historical_Prices_1" localSheetId="54">AA!$W$1:$AC$68</definedName>
    <definedName name="hp?s_AAPL" localSheetId="6">AAPL!$W$1:$AC$69</definedName>
    <definedName name="hp?s_AKAM_Historical_Prices" localSheetId="14">BMY!$W$1:$AC$70</definedName>
    <definedName name="hp?s_ALL_Historical_Prices" localSheetId="59">ALL!$X$1:$AD$69</definedName>
    <definedName name="hp?s_AVGO" localSheetId="61">AVGO!$W$1:$AC$69</definedName>
    <definedName name="hp?s_AXP_Historical_Prices" localSheetId="7">AXP!$W$1:$AC$70</definedName>
    <definedName name="hp?s_BIIB" localSheetId="3">BIIB!$W$1:$AC$68</definedName>
    <definedName name="hp?s_CAH" localSheetId="63">CAH!$W$1:$AC$69</definedName>
    <definedName name="hp?s_cce" localSheetId="13">CCE!$W$1:$AC$68</definedName>
    <definedName name="hp?s_CNI" localSheetId="52">CNI!$W$1:$AC$69</definedName>
    <definedName name="hp?s_CPN_Historical_Prices" localSheetId="30">CPN!$W$1:$AC$68</definedName>
    <definedName name="hp?s_cvs" localSheetId="18">CVS!$W$1:$AC$69</definedName>
    <definedName name="hp?s_DAL" localSheetId="64">DAL!$W$1:$AC$69</definedName>
    <definedName name="hp?s_DIS" localSheetId="13">CCE!#REF!</definedName>
    <definedName name="hp?s_DIS" localSheetId="66">DIS!$W$1:$AC$68</definedName>
    <definedName name="hp?s_DIS" localSheetId="67">FTR!#REF!</definedName>
    <definedName name="hp?s_ew_Historical_Prices" localSheetId="31">EW!$W$1:$AC$68</definedName>
    <definedName name="hp?s_foxa" localSheetId="10">FOXA!$W$1:$AC$69</definedName>
    <definedName name="hp?s_GILD" localSheetId="68">GILD!#REF!</definedName>
    <definedName name="hp?s_GIS" localSheetId="70">GIS!$X$1:$AD$69</definedName>
    <definedName name="hp?s_GM" localSheetId="71">GM!$W$1:$AC$69</definedName>
    <definedName name="hp?s_HES" localSheetId="47">HES!$W$1:$AC$69</definedName>
    <definedName name="hp?s_INTC_Historical_Prices" localSheetId="46">INTC!$W$1:$AC$69</definedName>
    <definedName name="hp?s_IP" localSheetId="45">IP!$W$1:$AC$69</definedName>
    <definedName name="hp?s_jnj" localSheetId="24">JNJ!$W$1:$AC$69</definedName>
    <definedName name="hp?s_KORS" localSheetId="58">KORS!$W$1:$AC$68</definedName>
    <definedName name="hp?s_LUV" localSheetId="12">LUV!$W$1:$AC$69</definedName>
    <definedName name="hp?s_MYL" localSheetId="4">MYL!$W$1:$AC$68</definedName>
    <definedName name="hp?s_nclh" localSheetId="49">NCLH!$W$1:$AC$68</definedName>
    <definedName name="hp?s_nke" localSheetId="37">NKE!$W$1:$AC$69</definedName>
    <definedName name="hp?s_NSC" localSheetId="60">NSC!$W$1:$AC$69</definedName>
    <definedName name="hp?s_NWL" localSheetId="57">NWL!#REF!</definedName>
    <definedName name="hp?s_pinc" localSheetId="9">PINC!$W$1:$AC$68</definedName>
    <definedName name="hp?s_SPY_Historical_Prices" localSheetId="50">SPY!$W$1:$AC$69</definedName>
    <definedName name="hp?s_SWKS" localSheetId="51">SWKS!$W$1:$AC$69</definedName>
    <definedName name="hp?s_TKR" localSheetId="73">TKR!$W$1:$AC$69</definedName>
    <definedName name="hp?s_tmo" localSheetId="72">TMO!$W$1:$AC$69</definedName>
    <definedName name="hp?s_ual" localSheetId="62">UAL!$W$1:$AC$68</definedName>
    <definedName name="hp?s_UNH" localSheetId="75">UNH!$W$1:$AC$69</definedName>
    <definedName name="hp?s_UNP" localSheetId="48">UNP!$W$1:$AC$69</definedName>
    <definedName name="hp?s_UTX" localSheetId="74">UTX!$W$1:$AC$69</definedName>
    <definedName name="hp?s_vgk" localSheetId="39">VGK!$W$1:$AC$69</definedName>
    <definedName name="hp?s_WFC" localSheetId="53">WFC!$W$1:$AC$69</definedName>
    <definedName name="hp?s_WWD" localSheetId="69">WWD!$W$1:$AC$69</definedName>
    <definedName name="PL" localSheetId="54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5">#REF!</definedName>
    <definedName name="PL" localSheetId="34">#REF!</definedName>
    <definedName name="PL" localSheetId="14">#REF!</definedName>
    <definedName name="PL" localSheetId="63">#REF!</definedName>
    <definedName name="PL" localSheetId="55">#REF!</definedName>
    <definedName name="PL" localSheetId="40">#REF!</definedName>
    <definedName name="PL" localSheetId="29">#REF!</definedName>
    <definedName name="PL" localSheetId="18">#REF!</definedName>
    <definedName name="PL" localSheetId="8">#REF!</definedName>
    <definedName name="PL" localSheetId="36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1">#REF!</definedName>
    <definedName name="PL" localSheetId="42">#REF!</definedName>
    <definedName name="PL" localSheetId="24">#REF!</definedName>
    <definedName name="PL" localSheetId="22">#REF!</definedName>
    <definedName name="PL" localSheetId="12">#REF!</definedName>
    <definedName name="PL" localSheetId="38">#REF!</definedName>
    <definedName name="PL" localSheetId="4">#REF!</definedName>
    <definedName name="PL" localSheetId="49">NCLH!$Q$7</definedName>
    <definedName name="PL" localSheetId="37">#REF!</definedName>
    <definedName name="PL" localSheetId="43">#REF!</definedName>
    <definedName name="PL" localSheetId="9">PINC!$Q$7</definedName>
    <definedName name="PL" localSheetId="50">SPY!$Q$7</definedName>
    <definedName name="PL" localSheetId="51">SWKS!$Q$7</definedName>
    <definedName name="PL" localSheetId="28">#REF!</definedName>
    <definedName name="PL" localSheetId="56">#REF!</definedName>
    <definedName name="PL" localSheetId="32">#REF!</definedName>
    <definedName name="PL" localSheetId="62">#REF!</definedName>
    <definedName name="PL" localSheetId="25">#REF!</definedName>
    <definedName name="PL" localSheetId="39">#REF!</definedName>
    <definedName name="PL" localSheetId="33">#REF!</definedName>
    <definedName name="PL" localSheetId="53">WFC!$Q$7</definedName>
    <definedName name="q?s_aa_ql_1" localSheetId="54">AA!$T$40:$U$55</definedName>
    <definedName name="q?s_AAPL" localSheetId="6">AAPL!$T$40:$U$55</definedName>
    <definedName name="q?s_AKAM" localSheetId="16">AKAM!$T$43:$U$58</definedName>
    <definedName name="q?s_ALL" localSheetId="59">ALL!$T$40:$U$55</definedName>
    <definedName name="q?s_AVGO" localSheetId="61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3">CAH!$T$43:$U$58</definedName>
    <definedName name="q?s_cce" localSheetId="13">CCE!$T$43:$U$58</definedName>
    <definedName name="q?s_CF" localSheetId="55">CF!$T$56:$U$71</definedName>
    <definedName name="q?s_CNI" localSheetId="52">CNI!$T$43:$U$58</definedName>
    <definedName name="q?s_CPN" localSheetId="30">CPN!$T$43:$U$58</definedName>
    <definedName name="q?s_cvs" localSheetId="18">CVS!$T$43:$U$58</definedName>
    <definedName name="q?s_DAL" localSheetId="64">DAL!$T$43:$U$58</definedName>
    <definedName name="q?s_dg" localSheetId="8">DG!$T$43:$U$58</definedName>
    <definedName name="q?s_DIS" localSheetId="66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67">FTR!$T$43:$U$58</definedName>
    <definedName name="q?s_GILD" localSheetId="68">GILD!$T$43:$U$58</definedName>
    <definedName name="q?s_GIS_1" localSheetId="70">GIS!$T$43:$U$58</definedName>
    <definedName name="q?s_GM" localSheetId="71">GM!$T$43:$U$58</definedName>
    <definedName name="q?s_HES" localSheetId="47">HES!$T$43:$U$58</definedName>
    <definedName name="q?s_INTC" localSheetId="46">INTC!$T$43:$U$58</definedName>
    <definedName name="q?s_IP" localSheetId="45">IP!$T$43:$U$58</definedName>
    <definedName name="q?s_JNJ" localSheetId="24">JNJ!$T$43:$U$58</definedName>
    <definedName name="q?s_KORS" localSheetId="58">KORS!$T$43:$U$58</definedName>
    <definedName name="q?s_KR" localSheetId="22">KR!$T$25:$U$40</definedName>
    <definedName name="q?s_luv_ql_1" localSheetId="12">LUV!$T$43:$U$58</definedName>
    <definedName name="q?s_MU" localSheetId="44">MU!#REF!</definedName>
    <definedName name="q?s_MYL" localSheetId="4">MYL!$T$43:$U$58</definedName>
    <definedName name="q?s_nclh" localSheetId="49">NCLH!$T$40:$U$55</definedName>
    <definedName name="q?s_NKE" localSheetId="37">NKE!$T$43:$U$58</definedName>
    <definedName name="q?s_nsc" localSheetId="60">NSC!$T$43:$U$58</definedName>
    <definedName name="q?s_NSC" localSheetId="48">UNP!$T$43:$U$58</definedName>
    <definedName name="q?s_NWL" localSheetId="57">NWL!$T$43:$U$58</definedName>
    <definedName name="q?s_pinc" localSheetId="9">PINC!$T$40:$U$55</definedName>
    <definedName name="q?s_SIG" localSheetId="5">SIG!#REF!</definedName>
    <definedName name="q?s_SPY" localSheetId="50">SPY!$T$40:$U$53</definedName>
    <definedName name="q?s_SWKS" localSheetId="51">SWKS!$T$40:$U$55</definedName>
    <definedName name="q?s_tgt" localSheetId="56">TGT!$T$43:$U$58</definedName>
    <definedName name="q?s_TKR" localSheetId="73">TKR!$T$43:$U$58</definedName>
    <definedName name="q?s_tmo" localSheetId="72">TMO!$T$43:$U$58</definedName>
    <definedName name="q?s_UAL" localSheetId="62">UAL!$T$43:$U$58</definedName>
    <definedName name="q?s_UNH" localSheetId="75">UNH!$T$43:$U$58</definedName>
    <definedName name="q?s_UTX" localSheetId="74">UTX!$T$43:$U$58</definedName>
    <definedName name="q?s_vgk" localSheetId="39">VGK!$T$43:$U$56</definedName>
    <definedName name="q?s_WFC" localSheetId="53">WFC!$T$43:$U$58</definedName>
    <definedName name="q?s_WWD" localSheetId="6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45" l="1"/>
  <c r="G31" i="45"/>
  <c r="H31" i="45"/>
  <c r="F4" i="45"/>
  <c r="F22" i="47"/>
  <c r="G22" i="47"/>
  <c r="H22" i="47"/>
  <c r="F3" i="47"/>
  <c r="F26" i="91"/>
  <c r="G26" i="91"/>
  <c r="H26" i="91"/>
  <c r="F3" i="91"/>
  <c r="M84" i="93"/>
  <c r="M66" i="93" s="1"/>
  <c r="Q10" i="93" s="1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Q2" i="93" s="1"/>
  <c r="C18" i="93"/>
  <c r="F2" i="93"/>
  <c r="F18" i="93" s="1"/>
  <c r="A578" i="38"/>
  <c r="D578" i="38"/>
  <c r="E578" i="38"/>
  <c r="G578" i="38"/>
  <c r="H578" i="38"/>
  <c r="K578" i="38"/>
  <c r="L578" i="38"/>
  <c r="P578" i="38" s="1"/>
  <c r="Q578" i="38" s="1"/>
  <c r="M578" i="38"/>
  <c r="N578" i="38" s="1"/>
  <c r="O578" i="38" s="1"/>
  <c r="S578" i="38"/>
  <c r="V578" i="38"/>
  <c r="W578" i="38"/>
  <c r="F43" i="84"/>
  <c r="H43" i="84"/>
  <c r="G43" i="84"/>
  <c r="F10" i="84"/>
  <c r="F18" i="84"/>
  <c r="C18" i="84"/>
  <c r="F22" i="58"/>
  <c r="C22" i="58"/>
  <c r="F41" i="51"/>
  <c r="C41" i="51"/>
  <c r="M85" i="93"/>
  <c r="K85" i="93"/>
  <c r="H85" i="93"/>
  <c r="F19" i="93"/>
  <c r="F85" i="93"/>
  <c r="M19" i="93"/>
  <c r="C85" i="93"/>
  <c r="K19" i="93"/>
  <c r="H19" i="93"/>
  <c r="C19" i="93"/>
  <c r="Q8" i="93" l="1"/>
  <c r="Q7" i="93"/>
  <c r="Q5" i="93"/>
  <c r="Q3" i="93"/>
  <c r="Q6" i="93" s="1"/>
  <c r="X578" i="38"/>
  <c r="U578" i="38"/>
  <c r="A577" i="38"/>
  <c r="D577" i="38"/>
  <c r="E577" i="38"/>
  <c r="G577" i="38"/>
  <c r="H577" i="38"/>
  <c r="K577" i="38"/>
  <c r="L577" i="38"/>
  <c r="P577" i="38" s="1"/>
  <c r="Q577" i="38" s="1"/>
  <c r="M577" i="38"/>
  <c r="N577" i="38" s="1"/>
  <c r="O577" i="38" s="1"/>
  <c r="X577" i="38" s="1"/>
  <c r="S577" i="38"/>
  <c r="V577" i="38"/>
  <c r="W577" i="38"/>
  <c r="F18" i="77"/>
  <c r="C18" i="77"/>
  <c r="F101" i="51"/>
  <c r="G101" i="51"/>
  <c r="H101" i="51"/>
  <c r="F28" i="51"/>
  <c r="F56" i="43"/>
  <c r="H56" i="43"/>
  <c r="G56" i="43"/>
  <c r="F15" i="43"/>
  <c r="M84" i="92"/>
  <c r="M66" i="92" s="1"/>
  <c r="Q10" i="92" s="1"/>
  <c r="K84" i="92"/>
  <c r="H84" i="92"/>
  <c r="F84" i="92"/>
  <c r="C84" i="92"/>
  <c r="P61" i="92"/>
  <c r="P60" i="92"/>
  <c r="P59" i="92"/>
  <c r="P58" i="92"/>
  <c r="P57" i="92"/>
  <c r="P56" i="92"/>
  <c r="P55" i="92"/>
  <c r="P54" i="92"/>
  <c r="P53" i="92"/>
  <c r="P52" i="92"/>
  <c r="P51" i="92"/>
  <c r="P50" i="92"/>
  <c r="P49" i="92"/>
  <c r="P48" i="92"/>
  <c r="P47" i="92"/>
  <c r="P46" i="92"/>
  <c r="P45" i="92"/>
  <c r="P44" i="92"/>
  <c r="P43" i="92"/>
  <c r="P42" i="92"/>
  <c r="P41" i="92"/>
  <c r="H25" i="92"/>
  <c r="G25" i="92"/>
  <c r="F25" i="92"/>
  <c r="M18" i="92"/>
  <c r="K18" i="92"/>
  <c r="H18" i="92"/>
  <c r="C18" i="92"/>
  <c r="Q2" i="92"/>
  <c r="Q5" i="92" s="1"/>
  <c r="F2" i="92"/>
  <c r="F18" i="92" s="1"/>
  <c r="Q3" i="92" s="1"/>
  <c r="F66" i="58"/>
  <c r="G66" i="58"/>
  <c r="H66" i="58"/>
  <c r="H22" i="58"/>
  <c r="Q2" i="58"/>
  <c r="F17" i="58"/>
  <c r="M84" i="91"/>
  <c r="K84" i="91"/>
  <c r="H84" i="91"/>
  <c r="F84" i="91"/>
  <c r="C84" i="91"/>
  <c r="P61" i="91"/>
  <c r="P60" i="91"/>
  <c r="P59" i="91"/>
  <c r="P58" i="91"/>
  <c r="P57" i="91"/>
  <c r="P56" i="91"/>
  <c r="P55" i="91"/>
  <c r="P54" i="91"/>
  <c r="P53" i="91"/>
  <c r="P52" i="91"/>
  <c r="P51" i="91"/>
  <c r="P50" i="91"/>
  <c r="P49" i="91"/>
  <c r="P48" i="91"/>
  <c r="P47" i="91"/>
  <c r="P46" i="91"/>
  <c r="P45" i="91"/>
  <c r="P44" i="91"/>
  <c r="P43" i="91"/>
  <c r="P42" i="91"/>
  <c r="P41" i="91"/>
  <c r="H25" i="91"/>
  <c r="G25" i="91"/>
  <c r="F25" i="91"/>
  <c r="M18" i="91"/>
  <c r="H18" i="91"/>
  <c r="C18" i="91"/>
  <c r="Q2" i="91" s="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V576" i="38" s="1"/>
  <c r="E576" i="38"/>
  <c r="G576" i="38"/>
  <c r="H576" i="38"/>
  <c r="K576" i="38"/>
  <c r="L576" i="38" s="1"/>
  <c r="M576" i="38"/>
  <c r="N576" i="38" s="1"/>
  <c r="O576" i="38" s="1"/>
  <c r="S576" i="38"/>
  <c r="F35" i="81"/>
  <c r="H35" i="81"/>
  <c r="G35" i="81"/>
  <c r="F8" i="81"/>
  <c r="F18" i="81"/>
  <c r="C18" i="81"/>
  <c r="F30" i="88"/>
  <c r="H30" i="88"/>
  <c r="G30" i="88"/>
  <c r="F5" i="88"/>
  <c r="F44" i="70"/>
  <c r="H44" i="70"/>
  <c r="G44" i="70"/>
  <c r="F14" i="70"/>
  <c r="F18" i="70"/>
  <c r="C18" i="70"/>
  <c r="K19" i="92"/>
  <c r="K85" i="91"/>
  <c r="H19" i="92"/>
  <c r="M19" i="91"/>
  <c r="C19" i="92"/>
  <c r="C85" i="91"/>
  <c r="H85" i="92"/>
  <c r="K85" i="92"/>
  <c r="K19" i="91"/>
  <c r="F85" i="92"/>
  <c r="M85" i="92"/>
  <c r="M85" i="91"/>
  <c r="M19" i="92"/>
  <c r="H85" i="91"/>
  <c r="H19" i="91"/>
  <c r="F19" i="92"/>
  <c r="C19" i="91"/>
  <c r="F19" i="91"/>
  <c r="C85" i="92"/>
  <c r="F85" i="91"/>
  <c r="Q9" i="93" l="1"/>
  <c r="U577" i="38"/>
  <c r="Q8" i="92"/>
  <c r="Q6" i="92"/>
  <c r="M66" i="91"/>
  <c r="Q10" i="91"/>
  <c r="Q8" i="91"/>
  <c r="Q3" i="91"/>
  <c r="Q6" i="91" s="1"/>
  <c r="Q5" i="91"/>
  <c r="P576" i="38"/>
  <c r="Q576" i="38" s="1"/>
  <c r="W576" i="38"/>
  <c r="X576" i="38" s="1"/>
  <c r="U576" i="38"/>
  <c r="F39" i="82"/>
  <c r="H39" i="82"/>
  <c r="G39" i="82"/>
  <c r="F7" i="82"/>
  <c r="F18" i="82" s="1"/>
  <c r="C18" i="82"/>
  <c r="A575" i="38"/>
  <c r="D575" i="38"/>
  <c r="V575" i="38" s="1"/>
  <c r="E575" i="38"/>
  <c r="G575" i="38"/>
  <c r="H575" i="38"/>
  <c r="K575" i="38"/>
  <c r="L575" i="38" s="1"/>
  <c r="W575" i="38" s="1"/>
  <c r="M575" i="38"/>
  <c r="N575" i="38" s="1"/>
  <c r="O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2" l="1"/>
  <c r="Q7" i="92"/>
  <c r="Q9" i="91"/>
  <c r="Q7" i="91"/>
  <c r="P575" i="38"/>
  <c r="Q575" i="38" s="1"/>
  <c r="X575" i="38"/>
  <c r="U575" i="38"/>
  <c r="A574" i="38"/>
  <c r="D574" i="38"/>
  <c r="E574" i="38"/>
  <c r="G574" i="38"/>
  <c r="H574" i="38"/>
  <c r="K574" i="38"/>
  <c r="L574" i="38"/>
  <c r="P574" i="38" s="1"/>
  <c r="Q574" i="38" s="1"/>
  <c r="M574" i="38"/>
  <c r="N574" i="38" s="1"/>
  <c r="O574" i="38" s="1"/>
  <c r="S574" i="38"/>
  <c r="V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W574" i="38" l="1"/>
  <c r="X574" i="38" s="1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N573" i="38"/>
  <c r="O573" i="38" s="1"/>
  <c r="S573" i="38"/>
  <c r="V573" i="38"/>
  <c r="K68" i="87"/>
  <c r="F68" i="87"/>
  <c r="W573" i="38" l="1"/>
  <c r="X573" i="38" s="1"/>
  <c r="P573" i="38"/>
  <c r="Q573" i="38" s="1"/>
  <c r="F156" i="25"/>
  <c r="G156" i="25"/>
  <c r="H156" i="25"/>
  <c r="F38" i="82" l="1"/>
  <c r="H38" i="82"/>
  <c r="G38" i="82"/>
  <c r="K5" i="82"/>
  <c r="A572" i="38"/>
  <c r="D572" i="38"/>
  <c r="E572" i="38"/>
  <c r="G572" i="38"/>
  <c r="H572" i="38"/>
  <c r="K572" i="38"/>
  <c r="L572" i="38"/>
  <c r="P572" i="38" s="1"/>
  <c r="Q572" i="38" s="1"/>
  <c r="M572" i="38"/>
  <c r="N572" i="38" s="1"/>
  <c r="O572" i="38" s="1"/>
  <c r="S572" i="38"/>
  <c r="V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E11" i="31"/>
  <c r="AE22" i="31"/>
  <c r="AE23" i="31"/>
  <c r="AE25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W572" i="38" l="1"/>
  <c r="X572" i="38" s="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G569" i="38"/>
  <c r="H569" i="38"/>
  <c r="K569" i="38"/>
  <c r="L569" i="38"/>
  <c r="M569" i="38"/>
  <c r="N569" i="38" s="1"/>
  <c r="S569" i="38"/>
  <c r="O569" i="38" l="1"/>
  <c r="P569" i="38"/>
  <c r="U569" i="38"/>
  <c r="A568" i="38"/>
  <c r="D568" i="38"/>
  <c r="E568" i="38"/>
  <c r="G568" i="38"/>
  <c r="H568" i="38"/>
  <c r="K568" i="38"/>
  <c r="L568" i="38"/>
  <c r="M568" i="38"/>
  <c r="N568" i="38" s="1"/>
  <c r="O568" i="38" s="1"/>
  <c r="S568" i="38"/>
  <c r="F96" i="51"/>
  <c r="G96" i="51"/>
  <c r="H96" i="51"/>
  <c r="F26" i="51"/>
  <c r="F32" i="81"/>
  <c r="H32" i="81"/>
  <c r="G32" i="81"/>
  <c r="F6" i="81"/>
  <c r="P568" i="38" l="1"/>
  <c r="U568" i="38"/>
  <c r="F40" i="57"/>
  <c r="H40" i="57"/>
  <c r="G40" i="57"/>
  <c r="H18" i="7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O565" i="38" l="1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P564" i="38" l="1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AC25" i="3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60" i="58"/>
  <c r="G60" i="58"/>
  <c r="H60" i="58"/>
  <c r="F34" i="82"/>
  <c r="G34" i="82"/>
  <c r="H34" i="82"/>
  <c r="F149" i="25" l="1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M85" i="90"/>
  <c r="K19" i="90"/>
  <c r="C85" i="90"/>
  <c r="M19" i="90"/>
  <c r="F19" i="90"/>
  <c r="K85" i="90"/>
  <c r="H19" i="90"/>
  <c r="C19" i="90"/>
  <c r="F85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H18" i="84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85" i="89"/>
  <c r="C85" i="89"/>
  <c r="C19" i="89"/>
  <c r="H19" i="89"/>
  <c r="F85" i="89"/>
  <c r="K19" i="89"/>
  <c r="M85" i="89"/>
  <c r="H42" i="51"/>
  <c r="F19" i="89"/>
  <c r="H85" i="89"/>
  <c r="M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8" i="87"/>
  <c r="H85" i="87"/>
  <c r="M85" i="87"/>
  <c r="F85" i="88"/>
  <c r="C85" i="88"/>
  <c r="H19" i="88"/>
  <c r="H85" i="88"/>
  <c r="K19" i="88"/>
  <c r="F19" i="88"/>
  <c r="F85" i="87"/>
  <c r="C85" i="87"/>
  <c r="H19" i="87"/>
  <c r="M85" i="88"/>
  <c r="M19" i="88"/>
  <c r="K85" i="87"/>
  <c r="K19" i="87"/>
  <c r="F19" i="87"/>
  <c r="C19" i="87"/>
  <c r="K85" i="88"/>
  <c r="M19" i="87"/>
  <c r="C19" i="88"/>
  <c r="Q2" i="87" l="1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Q8" i="87"/>
  <c r="F18" i="88"/>
  <c r="F41" i="31"/>
  <c r="G41" i="31"/>
  <c r="H41" i="31"/>
  <c r="Q3" i="87" l="1"/>
  <c r="Q6" i="87" s="1"/>
  <c r="Q9" i="89"/>
  <c r="Q8" i="88"/>
  <c r="Q7" i="88" s="1"/>
  <c r="Q9" i="87"/>
  <c r="Q7" i="87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F85" i="86"/>
  <c r="C19" i="86"/>
  <c r="H85" i="86"/>
  <c r="M85" i="86"/>
  <c r="K19" i="86"/>
  <c r="M19" i="86"/>
  <c r="F19" i="86"/>
  <c r="K85" i="86"/>
  <c r="H19" i="86"/>
  <c r="C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19" i="43"/>
  <c r="H19" i="43"/>
  <c r="M19" i="43"/>
  <c r="Q3" i="86" l="1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P548" i="38" l="1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N522" i="38" l="1"/>
  <c r="O522" i="38" s="1"/>
  <c r="P522" i="38"/>
  <c r="F77" i="51"/>
  <c r="G77" i="51"/>
  <c r="H77" i="51"/>
  <c r="F54" i="58"/>
  <c r="G54" i="58"/>
  <c r="H54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M19" i="46"/>
  <c r="H19" i="46"/>
  <c r="K19" i="46"/>
  <c r="C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P507" i="38" l="1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K85" i="85"/>
  <c r="F85" i="85"/>
  <c r="C19" i="85"/>
  <c r="K19" i="85"/>
  <c r="H19" i="85"/>
  <c r="M85" i="85"/>
  <c r="C85" i="85"/>
  <c r="F19" i="85"/>
  <c r="M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3"/>
  <c r="F19" i="83"/>
  <c r="H85" i="84"/>
  <c r="M19" i="84"/>
  <c r="H19" i="83"/>
  <c r="C85" i="84"/>
  <c r="M19" i="83"/>
  <c r="H85" i="83"/>
  <c r="M85" i="84"/>
  <c r="K85" i="83"/>
  <c r="C19" i="83"/>
  <c r="K85" i="84"/>
  <c r="K19" i="83"/>
  <c r="H19" i="84"/>
  <c r="C85" i="83"/>
  <c r="F85" i="84"/>
  <c r="F85" i="83"/>
  <c r="F19" i="84"/>
  <c r="C19" i="84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F2" i="82"/>
  <c r="D482" i="38"/>
  <c r="E482" i="38"/>
  <c r="G482" i="38"/>
  <c r="H482" i="38"/>
  <c r="K482" i="38"/>
  <c r="L482" i="38" s="1"/>
  <c r="M482" i="38"/>
  <c r="U482" i="38" s="1"/>
  <c r="S482" i="38"/>
  <c r="M19" i="82"/>
  <c r="C18" i="74"/>
  <c r="H18" i="74"/>
  <c r="H85" i="82"/>
  <c r="M18" i="74"/>
  <c r="C85" i="82"/>
  <c r="H19" i="82"/>
  <c r="C19" i="82"/>
  <c r="M85" i="82"/>
  <c r="F85" i="82"/>
  <c r="F19" i="82"/>
  <c r="K85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F78" i="75"/>
  <c r="C96" i="31"/>
  <c r="H78" i="75"/>
  <c r="M78" i="75"/>
  <c r="K96" i="31"/>
  <c r="M96" i="31"/>
  <c r="K78" i="75"/>
  <c r="C78" i="75"/>
  <c r="F96" i="31"/>
  <c r="H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85" i="64"/>
  <c r="H19" i="64"/>
  <c r="H85" i="64"/>
  <c r="K19" i="64"/>
  <c r="K85" i="64"/>
  <c r="M19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C85" i="81"/>
  <c r="K85" i="81"/>
  <c r="M85" i="81"/>
  <c r="H19" i="81"/>
  <c r="C19" i="81"/>
  <c r="F85" i="81"/>
  <c r="M19" i="81"/>
  <c r="F19" i="81"/>
  <c r="H85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K85" i="80"/>
  <c r="M85" i="80"/>
  <c r="C19" i="80"/>
  <c r="K19" i="80"/>
  <c r="F85" i="80"/>
  <c r="F19" i="80"/>
  <c r="H19" i="80"/>
  <c r="M19" i="80"/>
  <c r="H85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C19" i="79"/>
  <c r="F19" i="79"/>
  <c r="H65" i="79"/>
  <c r="K19" i="79"/>
  <c r="F65" i="79"/>
  <c r="C65" i="79"/>
  <c r="H19" i="79"/>
  <c r="M65" i="79"/>
  <c r="K65" i="79"/>
  <c r="M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9" i="25"/>
  <c r="G109" i="25"/>
  <c r="H109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105" i="25"/>
  <c r="G105" i="25"/>
  <c r="H105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K85" i="78"/>
  <c r="F19" i="78"/>
  <c r="C85" i="78"/>
  <c r="K19" i="78"/>
  <c r="H19" i="78"/>
  <c r="M19" i="78"/>
  <c r="H85" i="78"/>
  <c r="F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K18" i="43" l="1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K85" i="77"/>
  <c r="F85" i="77"/>
  <c r="C85" i="77"/>
  <c r="M85" i="77"/>
  <c r="F19" i="77"/>
  <c r="M19" i="77"/>
  <c r="H85" i="77"/>
  <c r="C19" i="77"/>
  <c r="H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E423" i="38" l="1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P416" i="38" l="1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94" i="25"/>
  <c r="H94" i="25"/>
  <c r="G94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F77" i="69"/>
  <c r="C77" i="69"/>
  <c r="H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K19" i="76"/>
  <c r="H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5" i="58" l="1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N389" i="38" l="1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K22" i="58" s="1"/>
  <c r="F16" i="40"/>
  <c r="K94" i="7"/>
  <c r="K3" i="51"/>
  <c r="Q2" i="40" l="1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F93" i="68"/>
  <c r="C93" i="68"/>
  <c r="K93" i="68"/>
  <c r="H93" i="68"/>
  <c r="M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K69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3" i="25"/>
  <c r="H693" i="25"/>
  <c r="C693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F575" i="25"/>
  <c r="F574" i="25"/>
  <c r="F573" i="25"/>
  <c r="K572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694" i="25"/>
  <c r="F694" i="25"/>
  <c r="C694" i="25"/>
  <c r="H694" i="25"/>
  <c r="M694" i="25"/>
  <c r="N363" i="38" l="1"/>
  <c r="O363" i="38" s="1"/>
  <c r="F693" i="25"/>
  <c r="K693" i="25"/>
  <c r="P363" i="38"/>
  <c r="M430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61" i="58"/>
  <c r="H104" i="58"/>
  <c r="G104" i="58"/>
  <c r="F104" i="58"/>
  <c r="P60" i="58"/>
  <c r="H103" i="58"/>
  <c r="G103" i="58"/>
  <c r="F103" i="58"/>
  <c r="P59" i="58"/>
  <c r="H102" i="58"/>
  <c r="G102" i="58"/>
  <c r="F102" i="58"/>
  <c r="P58" i="58"/>
  <c r="H101" i="58"/>
  <c r="G101" i="58"/>
  <c r="F101" i="58"/>
  <c r="P57" i="58"/>
  <c r="P56" i="58"/>
  <c r="P55" i="58"/>
  <c r="P54" i="58"/>
  <c r="H97" i="58"/>
  <c r="G97" i="58"/>
  <c r="F97" i="58"/>
  <c r="P53" i="58"/>
  <c r="H96" i="58"/>
  <c r="G96" i="58"/>
  <c r="F96" i="58"/>
  <c r="P52" i="58"/>
  <c r="H95" i="58"/>
  <c r="G95" i="58"/>
  <c r="F95" i="58"/>
  <c r="P51" i="58"/>
  <c r="H94" i="58"/>
  <c r="G94" i="58"/>
  <c r="F94" i="58"/>
  <c r="P50" i="58"/>
  <c r="H93" i="58"/>
  <c r="G93" i="58"/>
  <c r="F93" i="58"/>
  <c r="P49" i="58"/>
  <c r="H92" i="58"/>
  <c r="G92" i="58"/>
  <c r="F92" i="58"/>
  <c r="P48" i="58"/>
  <c r="H91" i="58"/>
  <c r="G91" i="58"/>
  <c r="F91" i="58"/>
  <c r="P47" i="58"/>
  <c r="H90" i="58"/>
  <c r="G90" i="58"/>
  <c r="F90" i="58"/>
  <c r="P46" i="58"/>
  <c r="H89" i="58"/>
  <c r="G89" i="58"/>
  <c r="F89" i="58"/>
  <c r="P45" i="58"/>
  <c r="H88" i="58"/>
  <c r="G88" i="58"/>
  <c r="F88" i="58"/>
  <c r="P44" i="58"/>
  <c r="H87" i="58"/>
  <c r="G87" i="58"/>
  <c r="F87" i="58"/>
  <c r="P43" i="58"/>
  <c r="H86" i="58"/>
  <c r="G86" i="58"/>
  <c r="F86" i="58"/>
  <c r="P42" i="58"/>
  <c r="H85" i="58"/>
  <c r="G85" i="58"/>
  <c r="F85" i="58"/>
  <c r="P41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6" i="51"/>
  <c r="H226" i="51"/>
  <c r="C226" i="51"/>
  <c r="F220" i="51"/>
  <c r="F219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K203" i="51"/>
  <c r="F203" i="51"/>
  <c r="K202" i="51"/>
  <c r="F202" i="51"/>
  <c r="F201" i="51"/>
  <c r="K200" i="51"/>
  <c r="F200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P43" i="51"/>
  <c r="H121" i="51"/>
  <c r="G121" i="51"/>
  <c r="F121" i="51"/>
  <c r="P42" i="51"/>
  <c r="H120" i="51"/>
  <c r="G120" i="51"/>
  <c r="F120" i="51"/>
  <c r="P41" i="51"/>
  <c r="H119" i="51"/>
  <c r="G119" i="51"/>
  <c r="F119" i="51"/>
  <c r="P40" i="51"/>
  <c r="H118" i="51"/>
  <c r="G118" i="51"/>
  <c r="F118" i="51"/>
  <c r="P39" i="51"/>
  <c r="H117" i="51"/>
  <c r="G117" i="51"/>
  <c r="F117" i="51"/>
  <c r="P38" i="51"/>
  <c r="H116" i="51"/>
  <c r="G116" i="51"/>
  <c r="F116" i="51"/>
  <c r="P37" i="51"/>
  <c r="H115" i="51"/>
  <c r="G115" i="51"/>
  <c r="F115" i="51"/>
  <c r="P36" i="51"/>
  <c r="H114" i="51"/>
  <c r="G114" i="51"/>
  <c r="F114" i="51"/>
  <c r="P35" i="51"/>
  <c r="H113" i="51"/>
  <c r="G113" i="51"/>
  <c r="F113" i="51"/>
  <c r="P34" i="51"/>
  <c r="H112" i="51"/>
  <c r="G112" i="51"/>
  <c r="F112" i="51"/>
  <c r="P33" i="51"/>
  <c r="H111" i="51"/>
  <c r="G111" i="51"/>
  <c r="F111" i="51"/>
  <c r="P32" i="51"/>
  <c r="H110" i="51"/>
  <c r="G110" i="51"/>
  <c r="F110" i="51"/>
  <c r="P31" i="51"/>
  <c r="H109" i="51"/>
  <c r="G109" i="51"/>
  <c r="F109" i="51"/>
  <c r="P30" i="51"/>
  <c r="H108" i="51"/>
  <c r="G108" i="51"/>
  <c r="F108" i="51"/>
  <c r="P29" i="51"/>
  <c r="H107" i="51"/>
  <c r="G107" i="51"/>
  <c r="F10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H176" i="25"/>
  <c r="G176" i="25"/>
  <c r="H175" i="25"/>
  <c r="G175" i="25"/>
  <c r="H174" i="25"/>
  <c r="G174" i="25"/>
  <c r="H173" i="25"/>
  <c r="G173" i="25"/>
  <c r="H172" i="25"/>
  <c r="G172" i="25"/>
  <c r="H171" i="25"/>
  <c r="G171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63" i="66"/>
  <c r="H65" i="71"/>
  <c r="F19" i="60"/>
  <c r="K19" i="41"/>
  <c r="M19" i="72"/>
  <c r="K94" i="52"/>
  <c r="M77" i="70"/>
  <c r="M19" i="60"/>
  <c r="C156" i="49"/>
  <c r="H19" i="54"/>
  <c r="H19" i="34"/>
  <c r="C19" i="54"/>
  <c r="K19" i="66"/>
  <c r="F19" i="73"/>
  <c r="M90" i="72"/>
  <c r="H19" i="53"/>
  <c r="M19" i="73"/>
  <c r="M119" i="7"/>
  <c r="M19" i="3"/>
  <c r="K19" i="69"/>
  <c r="K51" i="54"/>
  <c r="K119" i="7"/>
  <c r="H19" i="60"/>
  <c r="M23" i="57"/>
  <c r="M19" i="50"/>
  <c r="H19" i="41"/>
  <c r="H19" i="3"/>
  <c r="F65" i="71"/>
  <c r="F77" i="70"/>
  <c r="K42" i="51"/>
  <c r="H23" i="58"/>
  <c r="M30" i="49"/>
  <c r="M19" i="34"/>
  <c r="F19" i="53"/>
  <c r="H92" i="45"/>
  <c r="C19" i="52"/>
  <c r="H90" i="72"/>
  <c r="M65" i="71"/>
  <c r="H19" i="70"/>
  <c r="F67" i="60"/>
  <c r="H19" i="73"/>
  <c r="F81" i="61"/>
  <c r="K65" i="63"/>
  <c r="M19" i="61"/>
  <c r="K100" i="34"/>
  <c r="F19" i="50"/>
  <c r="F19" i="59"/>
  <c r="C72" i="59"/>
  <c r="K19" i="61"/>
  <c r="F23" i="17"/>
  <c r="M30" i="40"/>
  <c r="C19" i="66"/>
  <c r="H67" i="60"/>
  <c r="H19" i="50"/>
  <c r="F86" i="53"/>
  <c r="F19" i="72"/>
  <c r="M19" i="45"/>
  <c r="H72" i="59"/>
  <c r="C63" i="66"/>
  <c r="M19" i="70"/>
  <c r="F19" i="34"/>
  <c r="F19" i="54"/>
  <c r="K63" i="66"/>
  <c r="K19" i="59"/>
  <c r="C19" i="75"/>
  <c r="C19" i="3"/>
  <c r="K72" i="59"/>
  <c r="K77" i="70"/>
  <c r="H156" i="49"/>
  <c r="K19" i="70"/>
  <c r="C25" i="31"/>
  <c r="C75" i="41"/>
  <c r="H19" i="59"/>
  <c r="H19" i="69"/>
  <c r="C100" i="34"/>
  <c r="C51" i="54"/>
  <c r="C30" i="49"/>
  <c r="K19" i="68"/>
  <c r="F213" i="57"/>
  <c r="K19" i="72"/>
  <c r="C19" i="72"/>
  <c r="C19" i="69"/>
  <c r="F85" i="64"/>
  <c r="F19" i="66"/>
  <c r="C19" i="63"/>
  <c r="K451" i="17"/>
  <c r="K75" i="41"/>
  <c r="C94" i="52"/>
  <c r="F65" i="63"/>
  <c r="C19" i="34"/>
  <c r="M23" i="17"/>
  <c r="H77" i="70"/>
  <c r="H75" i="41"/>
  <c r="M67" i="60"/>
  <c r="M100" i="34"/>
  <c r="F19" i="75"/>
  <c r="C19" i="73"/>
  <c r="F19" i="55"/>
  <c r="C85" i="64"/>
  <c r="H94" i="52"/>
  <c r="H119" i="7"/>
  <c r="F19" i="71"/>
  <c r="K19" i="73"/>
  <c r="C77" i="70"/>
  <c r="M19" i="71"/>
  <c r="F19" i="62"/>
  <c r="M19" i="54"/>
  <c r="C65" i="63"/>
  <c r="K92" i="45"/>
  <c r="F19" i="70"/>
  <c r="H19" i="63"/>
  <c r="K19" i="60"/>
  <c r="C19" i="61"/>
  <c r="M19" i="66"/>
  <c r="C19" i="60"/>
  <c r="F92" i="45"/>
  <c r="M156" i="49"/>
  <c r="M146" i="58"/>
  <c r="K23" i="17"/>
  <c r="C23" i="17"/>
  <c r="C213" i="57"/>
  <c r="C90" i="72"/>
  <c r="F119" i="7"/>
  <c r="K19" i="54"/>
  <c r="M19" i="68"/>
  <c r="C86" i="53"/>
  <c r="M19" i="41"/>
  <c r="C19" i="50"/>
  <c r="C23" i="57"/>
  <c r="H86" i="53"/>
  <c r="H19" i="45"/>
  <c r="H19" i="71"/>
  <c r="H19" i="62"/>
  <c r="K19" i="34"/>
  <c r="C146" i="58"/>
  <c r="C19" i="68"/>
  <c r="K19" i="50"/>
  <c r="K19" i="45"/>
  <c r="C81" i="61"/>
  <c r="K86" i="53"/>
  <c r="F51" i="54"/>
  <c r="M19" i="53"/>
  <c r="F30" i="49"/>
  <c r="H63" i="66"/>
  <c r="H213" i="57"/>
  <c r="F94" i="52"/>
  <c r="F100" i="34"/>
  <c r="F18" i="74"/>
  <c r="C65" i="71"/>
  <c r="K19" i="62"/>
  <c r="K19" i="55"/>
  <c r="K23" i="58"/>
  <c r="C19" i="53"/>
  <c r="H23" i="17"/>
  <c r="K55" i="50"/>
  <c r="F72" i="59"/>
  <c r="M86" i="53"/>
  <c r="K67" i="60"/>
  <c r="C19" i="55"/>
  <c r="H146" i="58"/>
  <c r="M92" i="45"/>
  <c r="M65" i="63"/>
  <c r="C19" i="71"/>
  <c r="M75" i="41"/>
  <c r="H19" i="55"/>
  <c r="K19" i="63"/>
  <c r="M19" i="75"/>
  <c r="C19" i="64"/>
  <c r="M94" i="52"/>
  <c r="F146" i="58"/>
  <c r="H19" i="52"/>
  <c r="C30" i="40"/>
  <c r="F25" i="31"/>
  <c r="C92" i="45"/>
  <c r="H19" i="68"/>
  <c r="C451" i="17"/>
  <c r="F19" i="64"/>
  <c r="M451" i="17"/>
  <c r="H19" i="66"/>
  <c r="H100" i="34"/>
  <c r="K146" i="58"/>
  <c r="F19" i="69"/>
  <c r="H19" i="61"/>
  <c r="C19" i="70"/>
  <c r="H30" i="49"/>
  <c r="K19" i="71"/>
  <c r="C19" i="59"/>
  <c r="C19" i="62"/>
  <c r="M81" i="61"/>
  <c r="H65" i="63"/>
  <c r="F19" i="61"/>
  <c r="M42" i="51"/>
  <c r="M72" i="59"/>
  <c r="K81" i="61"/>
  <c r="K30" i="49"/>
  <c r="F156" i="49"/>
  <c r="K156" i="49"/>
  <c r="M19" i="69"/>
  <c r="M63" i="66"/>
  <c r="C67" i="60"/>
  <c r="K19" i="3"/>
  <c r="K30" i="40"/>
  <c r="C55" i="50"/>
  <c r="F55" i="50"/>
  <c r="C119" i="7"/>
  <c r="M19" i="52"/>
  <c r="K19" i="75"/>
  <c r="H51" i="54"/>
  <c r="M51" i="54"/>
  <c r="F30" i="40"/>
  <c r="M23" i="58"/>
  <c r="F19" i="63"/>
  <c r="H25" i="31"/>
  <c r="F75" i="41"/>
  <c r="H70" i="25"/>
  <c r="H30" i="40"/>
  <c r="F23" i="57"/>
  <c r="H19" i="72"/>
  <c r="M19" i="63"/>
  <c r="F19" i="52"/>
  <c r="H55" i="50"/>
  <c r="F19" i="3"/>
  <c r="M19" i="62"/>
  <c r="K65" i="71"/>
  <c r="F451" i="17"/>
  <c r="H81" i="61"/>
  <c r="K18" i="74"/>
  <c r="K19" i="52"/>
  <c r="K19" i="53"/>
  <c r="H451" i="17"/>
  <c r="K213" i="57"/>
  <c r="F90" i="72"/>
  <c r="H19" i="75"/>
  <c r="K90" i="72"/>
  <c r="M19" i="55"/>
  <c r="F19" i="68"/>
  <c r="C19" i="41"/>
  <c r="M19" i="59"/>
  <c r="M55" i="50"/>
  <c r="K23" i="57"/>
  <c r="M213" i="57"/>
  <c r="K25" i="31"/>
  <c r="F19" i="41"/>
  <c r="M25" i="31"/>
  <c r="F19" i="43"/>
  <c r="F23" i="58"/>
  <c r="C23" i="58"/>
  <c r="F19" i="45"/>
  <c r="C19" i="45"/>
  <c r="F70" i="25"/>
  <c r="C70" i="25"/>
  <c r="F42" i="51"/>
  <c r="V571" i="38" l="1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Q9" i="49" s="1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6" i="51"/>
  <c r="K226" i="51"/>
  <c r="Q2" i="44"/>
  <c r="Q3" i="44" s="1"/>
  <c r="Q6" i="44" s="1"/>
  <c r="Q2" i="32"/>
  <c r="Q8" i="32" s="1"/>
  <c r="F44" i="26"/>
  <c r="K44" i="26"/>
  <c r="Q2" i="71"/>
  <c r="M104" i="49"/>
  <c r="Q2" i="25"/>
  <c r="W571" i="38" l="1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X209" i="38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47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198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71" i="38" l="1"/>
  <c r="Q570" i="38"/>
  <c r="Q569" i="38"/>
  <c r="Q566" i="38"/>
  <c r="Q568" i="38"/>
  <c r="X227" i="38"/>
  <c r="X240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3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6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7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8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9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0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1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8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<sst xmlns="http://schemas.openxmlformats.org/spreadsheetml/2006/main" count="6824" uniqueCount="989">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</sst>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16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165"/>
      <tableStyleElement type="headerRow" dxfId="2164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onnections" Target="connections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27480"/>
        <c:axId val="436693888"/>
      </c:scatterChart>
      <c:valAx>
        <c:axId val="202127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693888"/>
        <c:crosses val="autoZero"/>
        <c:crossBetween val="midCat"/>
      </c:valAx>
      <c:valAx>
        <c:axId val="43669388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127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956696"/>
        <c:axId val="446280400"/>
      </c:scatterChart>
      <c:valAx>
        <c:axId val="446956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280400"/>
        <c:crosses val="autoZero"/>
        <c:crossBetween val="midCat"/>
      </c:valAx>
      <c:valAx>
        <c:axId val="4462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9566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548096"/>
        <c:axId val="446586168"/>
      </c:scatterChart>
      <c:valAx>
        <c:axId val="44654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586168"/>
        <c:crosses val="autoZero"/>
        <c:crossBetween val="midCat"/>
      </c:valAx>
      <c:valAx>
        <c:axId val="4465861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548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035712"/>
        <c:axId val="446572416"/>
      </c:scatterChart>
      <c:valAx>
        <c:axId val="447035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572416"/>
        <c:crosses val="autoZero"/>
        <c:crossBetween val="midCat"/>
      </c:valAx>
      <c:valAx>
        <c:axId val="44657241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03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573200"/>
        <c:axId val="446573592"/>
      </c:scatterChart>
      <c:valAx>
        <c:axId val="44657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573592"/>
        <c:crosses val="autoZero"/>
        <c:crossBetween val="midCat"/>
      </c:valAx>
      <c:valAx>
        <c:axId val="44657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57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574768"/>
        <c:axId val="446575160"/>
      </c:scatterChart>
      <c:valAx>
        <c:axId val="44657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575160"/>
        <c:crosses val="autoZero"/>
        <c:crossBetween val="midCat"/>
      </c:valAx>
      <c:valAx>
        <c:axId val="446575160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57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574376"/>
        <c:axId val="446572024"/>
      </c:scatterChart>
      <c:valAx>
        <c:axId val="446574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572024"/>
        <c:crosses val="autoZero"/>
        <c:crossBetween val="midCat"/>
      </c:valAx>
      <c:valAx>
        <c:axId val="446572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5743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730664"/>
        <c:axId val="456731056"/>
      </c:lineChart>
      <c:dateAx>
        <c:axId val="456730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31056"/>
        <c:crosses val="autoZero"/>
        <c:auto val="1"/>
        <c:lblOffset val="100"/>
        <c:baseTimeUnit val="days"/>
      </c:dateAx>
      <c:valAx>
        <c:axId val="45673105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73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440376"/>
        <c:axId val="456440768"/>
      </c:lineChart>
      <c:dateAx>
        <c:axId val="456440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40768"/>
        <c:crosses val="autoZero"/>
        <c:auto val="1"/>
        <c:lblOffset val="100"/>
        <c:baseTimeUnit val="days"/>
      </c:dateAx>
      <c:valAx>
        <c:axId val="4564407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4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442728"/>
        <c:axId val="456443120"/>
      </c:lineChart>
      <c:dateAx>
        <c:axId val="456442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43120"/>
        <c:crosses val="autoZero"/>
        <c:auto val="1"/>
        <c:lblOffset val="100"/>
        <c:baseTimeUnit val="days"/>
      </c:dateAx>
      <c:valAx>
        <c:axId val="4564431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44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358368"/>
        <c:axId val="458358760"/>
      </c:lineChart>
      <c:dateAx>
        <c:axId val="458358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58760"/>
        <c:crosses val="autoZero"/>
        <c:auto val="1"/>
        <c:lblOffset val="100"/>
        <c:baseTimeUnit val="days"/>
      </c:dateAx>
      <c:valAx>
        <c:axId val="458358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5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020296"/>
        <c:axId val="459020688"/>
      </c:lineChart>
      <c:dateAx>
        <c:axId val="459020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20688"/>
        <c:crosses val="autoZero"/>
        <c:auto val="1"/>
        <c:lblOffset val="100"/>
        <c:baseTimeUnit val="days"/>
      </c:dateAx>
      <c:valAx>
        <c:axId val="4590206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2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022648"/>
        <c:axId val="459023040"/>
      </c:lineChart>
      <c:dateAx>
        <c:axId val="459022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23040"/>
        <c:crosses val="autoZero"/>
        <c:auto val="1"/>
        <c:lblOffset val="100"/>
        <c:baseTimeUnit val="days"/>
      </c:dateAx>
      <c:valAx>
        <c:axId val="45902304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2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462872"/>
        <c:axId val="457463264"/>
      </c:lineChart>
      <c:dateAx>
        <c:axId val="457462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463264"/>
        <c:crosses val="autoZero"/>
        <c:auto val="1"/>
        <c:lblOffset val="100"/>
        <c:baseTimeUnit val="days"/>
      </c:dateAx>
      <c:valAx>
        <c:axId val="4574632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46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465224"/>
        <c:axId val="459014168"/>
      </c:lineChart>
      <c:dateAx>
        <c:axId val="457465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14168"/>
        <c:crosses val="autoZero"/>
        <c:auto val="1"/>
        <c:lblOffset val="100"/>
        <c:baseTimeUnit val="days"/>
      </c:dateAx>
      <c:valAx>
        <c:axId val="4590141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46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016520"/>
        <c:axId val="459016912"/>
      </c:lineChart>
      <c:catAx>
        <c:axId val="45901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16912"/>
        <c:crosses val="autoZero"/>
        <c:auto val="1"/>
        <c:lblAlgn val="ctr"/>
        <c:lblOffset val="100"/>
        <c:noMultiLvlLbl val="0"/>
      </c:catAx>
      <c:valAx>
        <c:axId val="4590169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1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54824"/>
        <c:axId val="461555216"/>
      </c:lineChart>
      <c:dateAx>
        <c:axId val="461554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55216"/>
        <c:crosses val="autoZero"/>
        <c:auto val="1"/>
        <c:lblOffset val="100"/>
        <c:baseTimeUnit val="days"/>
      </c:dateAx>
      <c:valAx>
        <c:axId val="4615552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5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12984"/>
        <c:axId val="484713376"/>
      </c:lineChart>
      <c:dateAx>
        <c:axId val="484712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13376"/>
        <c:crosses val="autoZero"/>
        <c:auto val="1"/>
        <c:lblOffset val="100"/>
        <c:baseTimeUnit val="days"/>
      </c:dateAx>
      <c:valAx>
        <c:axId val="4847133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1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337928"/>
        <c:axId val="472338320"/>
      </c:lineChart>
      <c:catAx>
        <c:axId val="472337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38320"/>
        <c:crosses val="autoZero"/>
        <c:auto val="1"/>
        <c:lblAlgn val="ctr"/>
        <c:lblOffset val="100"/>
        <c:noMultiLvlLbl val="0"/>
      </c:catAx>
      <c:valAx>
        <c:axId val="472338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3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30304"/>
        <c:axId val="513630696"/>
      </c:lineChart>
      <c:catAx>
        <c:axId val="513630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30696"/>
        <c:crosses val="autoZero"/>
        <c:auto val="1"/>
        <c:lblAlgn val="ctr"/>
        <c:lblOffset val="100"/>
        <c:noMultiLvlLbl val="0"/>
      </c:catAx>
      <c:valAx>
        <c:axId val="5136306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3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632656"/>
        <c:axId val="513633048"/>
      </c:lineChart>
      <c:dateAx>
        <c:axId val="513632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33048"/>
        <c:crosses val="autoZero"/>
        <c:auto val="1"/>
        <c:lblOffset val="100"/>
        <c:baseTimeUnit val="days"/>
      </c:dateAx>
      <c:valAx>
        <c:axId val="5136330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63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29400"/>
        <c:axId val="484229792"/>
      </c:lineChart>
      <c:catAx>
        <c:axId val="484229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29792"/>
        <c:crosses val="autoZero"/>
        <c:auto val="1"/>
        <c:lblAlgn val="ctr"/>
        <c:lblOffset val="100"/>
        <c:noMultiLvlLbl val="0"/>
      </c:catAx>
      <c:valAx>
        <c:axId val="4842297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2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231752"/>
        <c:axId val="484232144"/>
      </c:lineChart>
      <c:dateAx>
        <c:axId val="48423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32144"/>
        <c:crosses val="autoZero"/>
        <c:auto val="1"/>
        <c:lblOffset val="100"/>
        <c:baseTimeUnit val="days"/>
      </c:dateAx>
      <c:valAx>
        <c:axId val="4842321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23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17576"/>
        <c:axId val="515517968"/>
      </c:lineChart>
      <c:dateAx>
        <c:axId val="515517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17968"/>
        <c:crosses val="autoZero"/>
        <c:auto val="1"/>
        <c:lblOffset val="100"/>
        <c:baseTimeUnit val="days"/>
      </c:dateAx>
      <c:valAx>
        <c:axId val="5155179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1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73576"/>
        <c:axId val="484073968"/>
      </c:lineChart>
      <c:dateAx>
        <c:axId val="484073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73968"/>
        <c:crosses val="autoZero"/>
        <c:auto val="1"/>
        <c:lblOffset val="100"/>
        <c:baseTimeUnit val="days"/>
      </c:dateAx>
      <c:valAx>
        <c:axId val="484073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7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75928"/>
        <c:axId val="484076320"/>
      </c:lineChart>
      <c:dateAx>
        <c:axId val="484075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76320"/>
        <c:crosses val="autoZero"/>
        <c:auto val="1"/>
        <c:lblOffset val="100"/>
        <c:baseTimeUnit val="days"/>
      </c:dateAx>
      <c:valAx>
        <c:axId val="4840763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7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148888"/>
        <c:axId val="536149280"/>
      </c:lineChart>
      <c:dateAx>
        <c:axId val="5361488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49280"/>
        <c:crosses val="autoZero"/>
        <c:auto val="0"/>
        <c:lblOffset val="100"/>
        <c:baseTimeUnit val="days"/>
      </c:dateAx>
      <c:valAx>
        <c:axId val="53614928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48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653928"/>
        <c:axId val="524654320"/>
      </c:lineChart>
      <c:dateAx>
        <c:axId val="524653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654320"/>
        <c:crosses val="autoZero"/>
        <c:auto val="1"/>
        <c:lblOffset val="100"/>
        <c:baseTimeUnit val="days"/>
      </c:dateAx>
      <c:valAx>
        <c:axId val="5246543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65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656280"/>
        <c:axId val="524656672"/>
      </c:lineChart>
      <c:catAx>
        <c:axId val="524656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656672"/>
        <c:crosses val="autoZero"/>
        <c:auto val="1"/>
        <c:lblAlgn val="ctr"/>
        <c:lblOffset val="100"/>
        <c:noMultiLvlLbl val="0"/>
      </c:catAx>
      <c:valAx>
        <c:axId val="524656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65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658632"/>
        <c:axId val="524659024"/>
      </c:lineChart>
      <c:catAx>
        <c:axId val="524658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659024"/>
        <c:crosses val="autoZero"/>
        <c:auto val="1"/>
        <c:lblAlgn val="ctr"/>
        <c:lblOffset val="100"/>
        <c:noMultiLvlLbl val="0"/>
      </c:catAx>
      <c:valAx>
        <c:axId val="5246590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65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055008"/>
        <c:axId val="546055400"/>
      </c:lineChart>
      <c:catAx>
        <c:axId val="546055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55400"/>
        <c:crosses val="autoZero"/>
        <c:auto val="1"/>
        <c:lblAlgn val="ctr"/>
        <c:lblOffset val="100"/>
        <c:noMultiLvlLbl val="0"/>
      </c:catAx>
      <c:valAx>
        <c:axId val="5460554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5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060888"/>
        <c:axId val="546061280"/>
      </c:lineChart>
      <c:dateAx>
        <c:axId val="546060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61280"/>
        <c:crosses val="autoZero"/>
        <c:auto val="1"/>
        <c:lblOffset val="100"/>
        <c:baseTimeUnit val="days"/>
      </c:dateAx>
      <c:valAx>
        <c:axId val="5460612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06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39464"/>
        <c:axId val="546239856"/>
      </c:lineChart>
      <c:dateAx>
        <c:axId val="54623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39856"/>
        <c:crosses val="autoZero"/>
        <c:auto val="1"/>
        <c:lblOffset val="100"/>
        <c:baseTimeUnit val="days"/>
      </c:dateAx>
      <c:valAx>
        <c:axId val="5462398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3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242992"/>
        <c:axId val="546243384"/>
      </c:lineChart>
      <c:catAx>
        <c:axId val="546242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43384"/>
        <c:crosses val="autoZero"/>
        <c:auto val="1"/>
        <c:lblAlgn val="ctr"/>
        <c:lblOffset val="100"/>
        <c:noMultiLvlLbl val="0"/>
      </c:catAx>
      <c:valAx>
        <c:axId val="5462433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24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002672"/>
        <c:axId val="548003064"/>
      </c:lineChart>
      <c:dateAx>
        <c:axId val="548002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03064"/>
        <c:crosses val="autoZero"/>
        <c:auto val="1"/>
        <c:lblOffset val="100"/>
        <c:baseTimeUnit val="days"/>
      </c:dateAx>
      <c:valAx>
        <c:axId val="5480030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00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vs" backgroundRefresh="0" adjustColumnWidth="0" connectionId="8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vs" backgroundRefresh="0" connectionId="8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jnj" backgroundRefresh="0" adjustColumnWidth="0" connectionId="8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JNJ" backgroundRefresh="0" connectionId="8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PY" backgroundRefresh="0" connectionId="6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backgroundRefresh="0" adjustColumnWidth="0" connectionId="6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IS" adjustColumnWidth="0" connectionId="6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471" dataDxfId="1470">
  <autoFilter ref="O14:W25"/>
  <tableColumns count="9">
    <tableColumn id="1" name="Date" dataDxfId="1469"/>
    <tableColumn id="2" name="Quarter" dataDxfId="1468"/>
    <tableColumn id="3" name="Time" dataDxfId="1467"/>
    <tableColumn id="4" name="EPS estimate" dataDxfId="1466"/>
    <tableColumn id="5" name="EPS Actual" dataDxfId="1465"/>
    <tableColumn id="6" name="Sales Estiamte (B)" dataDxfId="1464"/>
    <tableColumn id="7" name="Sales Actual (B)" dataDxfId="1463"/>
    <tableColumn id="8" name="Guidance" dataDxfId="1462"/>
    <tableColumn id="9" name="Reaction" dataDxfId="146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232" dataDxfId="1231">
  <autoFilter ref="O16:W27"/>
  <tableColumns count="9">
    <tableColumn id="1" name="Date" dataDxfId="1230"/>
    <tableColumn id="2" name="Quarter" dataDxfId="1229"/>
    <tableColumn id="3" name="Time" dataDxfId="1228"/>
    <tableColumn id="4" name="EPS estimate" dataDxfId="1227"/>
    <tableColumn id="5" name="EPS Actual" dataDxfId="1226"/>
    <tableColumn id="6" name="Sales Estiamte (B)" dataDxfId="1225"/>
    <tableColumn id="7" name="Sales Actual (B)" dataDxfId="1224"/>
    <tableColumn id="8" name="Guidance" dataDxfId="1223"/>
    <tableColumn id="9" name="Reaction" dataDxfId="122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27" dataDxfId="926">
  <autoFilter ref="T80:AB91"/>
  <tableColumns count="9">
    <tableColumn id="1" name="Date" dataDxfId="925"/>
    <tableColumn id="2" name="Quarter" dataDxfId="924"/>
    <tableColumn id="3" name="Time" dataDxfId="923"/>
    <tableColumn id="4" name="EPS estimate" dataDxfId="922"/>
    <tableColumn id="5" name="EPS Actual" dataDxfId="921"/>
    <tableColumn id="6" name="Sales Estiamte (B)" dataDxfId="920"/>
    <tableColumn id="7" name="Sales Actual (B)" dataDxfId="919"/>
    <tableColumn id="8" name="Guidance" dataDxfId="918"/>
    <tableColumn id="9" name="Reaction" dataDxfId="91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58" dataDxfId="457">
  <autoFilter ref="O15:W26"/>
  <tableColumns count="9">
    <tableColumn id="1" name="Date" dataDxfId="456"/>
    <tableColumn id="2" name="Quarter" dataDxfId="455"/>
    <tableColumn id="3" name="Time" dataDxfId="454"/>
    <tableColumn id="4" name="EPS estimate" dataDxfId="453"/>
    <tableColumn id="5" name="EPS Actual" dataDxfId="452"/>
    <tableColumn id="6" name="Sales Estiamte (B)" dataDxfId="451"/>
    <tableColumn id="7" name="Sales Actual (B)" dataDxfId="450"/>
    <tableColumn id="8" name="Guidance" dataDxfId="449"/>
    <tableColumn id="9" name="Reaction" dataDxfId="44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://www.nasdaq.com/markets/corn.aspx?timeframe=2y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3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www.trendforce.com/price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3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4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4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4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5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5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59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1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63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65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2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3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6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7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9.xml"/><Relationship Id="rId1" Type="http://schemas.openxmlformats.org/officeDocument/2006/relationships/queryTable" Target="../queryTables/queryTable78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queryTable" Target="../queryTables/queryTable80.xml"/><Relationship Id="rId1" Type="http://schemas.openxmlformats.org/officeDocument/2006/relationships/drawing" Target="../drawings/drawing3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8.bin"/><Relationship Id="rId4" Type="http://schemas.openxmlformats.org/officeDocument/2006/relationships/queryTable" Target="../queryTables/queryTable8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85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87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T7" sqref="T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90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832</v>
      </c>
      <c r="O1" s="352" t="s">
        <v>207</v>
      </c>
      <c r="P1" s="352" t="s">
        <v>283</v>
      </c>
    </row>
    <row r="2" spans="1:21" ht="21.95" customHeight="1" x14ac:dyDescent="0.25">
      <c r="A2" s="50"/>
      <c r="B2" s="51"/>
      <c r="C2" s="51"/>
      <c r="E2" s="22" t="s">
        <v>50</v>
      </c>
      <c r="F2" s="2">
        <v>16.78</v>
      </c>
      <c r="G2" s="2">
        <v>15.873623999999987</v>
      </c>
      <c r="H2" s="49">
        <v>5000</v>
      </c>
      <c r="I2" s="48">
        <v>79368.119999999937</v>
      </c>
      <c r="J2" s="366">
        <v>4531.8800000000629</v>
      </c>
      <c r="K2" s="353">
        <v>5.7099500403941454E-2</v>
      </c>
      <c r="L2" s="366">
        <v>19147.451000001689</v>
      </c>
      <c r="M2">
        <v>3300</v>
      </c>
      <c r="N2" s="2"/>
      <c r="O2" s="789">
        <v>1.1918951132300357E-2</v>
      </c>
      <c r="P2" s="134">
        <v>-4.2200000000000001E-2</v>
      </c>
      <c r="S2" s="48"/>
    </row>
    <row r="3" spans="1:21" ht="21.95" customHeight="1" x14ac:dyDescent="0.25">
      <c r="A3" s="50"/>
      <c r="B3" s="50"/>
      <c r="C3" s="51"/>
      <c r="E3" s="22" t="s">
        <v>196</v>
      </c>
      <c r="F3" s="2">
        <v>28.47</v>
      </c>
      <c r="G3" s="2">
        <v>30.45329333333332</v>
      </c>
      <c r="H3" s="329">
        <v>1500</v>
      </c>
      <c r="I3" s="48">
        <v>45679.939999999981</v>
      </c>
      <c r="J3" s="366">
        <v>-2974.9399999999878</v>
      </c>
      <c r="K3" s="353">
        <v>-6.5125742284249583E-2</v>
      </c>
      <c r="L3" s="366">
        <v>-1226.9699999999939</v>
      </c>
      <c r="M3">
        <v>400</v>
      </c>
      <c r="N3" s="2"/>
      <c r="O3" s="789">
        <v>1.7562346329469618E-2</v>
      </c>
      <c r="P3" s="134">
        <v>-2.9700000000000001E-2</v>
      </c>
      <c r="Q3" s="148"/>
      <c r="S3" s="48"/>
    </row>
    <row r="4" spans="1:21" ht="21.95" customHeight="1" x14ac:dyDescent="0.25">
      <c r="A4" s="51"/>
      <c r="B4" s="51"/>
      <c r="C4" s="51"/>
      <c r="E4" s="22" t="s">
        <v>227</v>
      </c>
      <c r="F4" s="2">
        <v>24.78</v>
      </c>
      <c r="G4" s="2">
        <v>23.678983333333321</v>
      </c>
      <c r="H4" s="329">
        <v>600</v>
      </c>
      <c r="I4" s="48">
        <v>14207.389999999992</v>
      </c>
      <c r="J4" s="366">
        <v>660.61000000000786</v>
      </c>
      <c r="K4" s="353">
        <v>4.6497632570092651E-2</v>
      </c>
      <c r="L4" s="366">
        <v>2112.8700000000063</v>
      </c>
      <c r="M4">
        <v>250</v>
      </c>
      <c r="N4" s="363"/>
      <c r="O4" s="789">
        <v>4.0355125100887809E-3</v>
      </c>
      <c r="P4" s="134">
        <v>-4.8399999999999999E-2</v>
      </c>
      <c r="S4" s="48"/>
    </row>
    <row r="5" spans="1:21" ht="21.95" customHeight="1" x14ac:dyDescent="0.25">
      <c r="A5" s="50"/>
      <c r="B5" s="50"/>
      <c r="C5" s="51"/>
      <c r="E5" s="22" t="s">
        <v>175</v>
      </c>
      <c r="F5" s="2">
        <v>263.92989999999998</v>
      </c>
      <c r="G5" s="2">
        <v>269.66500000000002</v>
      </c>
      <c r="H5" s="329">
        <v>50</v>
      </c>
      <c r="I5" s="48">
        <v>13483.250000000002</v>
      </c>
      <c r="J5" s="366">
        <v>-286.75500000000102</v>
      </c>
      <c r="K5" s="353">
        <v>-2.1267498563032075E-2</v>
      </c>
      <c r="L5" s="366">
        <v>-125.92500000000109</v>
      </c>
      <c r="M5" s="29">
        <v>43164</v>
      </c>
      <c r="N5" s="363"/>
      <c r="O5" s="789">
        <v>0</v>
      </c>
      <c r="P5" s="134">
        <v>-4.1799999999999997E-2</v>
      </c>
      <c r="Q5" s="48"/>
      <c r="R5" s="48"/>
      <c r="S5" s="48"/>
      <c r="U5" s="48"/>
    </row>
    <row r="6" spans="1:21" ht="21.95" customHeight="1" x14ac:dyDescent="0.25">
      <c r="A6" s="50"/>
      <c r="B6" s="50"/>
      <c r="C6" s="51"/>
      <c r="E6" s="22" t="s">
        <v>745</v>
      </c>
      <c r="F6" s="2">
        <v>212.99</v>
      </c>
      <c r="G6" s="2">
        <v>204.65872727272728</v>
      </c>
      <c r="H6" s="49">
        <v>55</v>
      </c>
      <c r="I6" s="48">
        <v>11256.23</v>
      </c>
      <c r="J6" s="366">
        <v>458.22000000000116</v>
      </c>
      <c r="K6" s="353">
        <v>4.0708123412545788E-2</v>
      </c>
      <c r="L6" s="48">
        <v>682.9900000000016</v>
      </c>
      <c r="M6">
        <v>5</v>
      </c>
      <c r="N6" s="363"/>
      <c r="O6" s="789">
        <v>0</v>
      </c>
      <c r="P6" s="134">
        <v>-2.9499999999999998E-2</v>
      </c>
      <c r="Q6" s="437"/>
      <c r="R6" s="48"/>
      <c r="S6" s="48"/>
      <c r="U6" s="48"/>
    </row>
    <row r="7" spans="1:21" ht="21.95" customHeight="1" x14ac:dyDescent="0.25">
      <c r="A7" s="50"/>
      <c r="B7" s="50"/>
      <c r="C7" s="51"/>
      <c r="E7" s="22" t="s">
        <v>885</v>
      </c>
      <c r="F7" s="2">
        <v>33.69</v>
      </c>
      <c r="G7" s="2">
        <v>35.963333333333331</v>
      </c>
      <c r="H7" s="329">
        <v>300</v>
      </c>
      <c r="I7" s="48">
        <v>10789</v>
      </c>
      <c r="J7" s="366">
        <v>-682</v>
      </c>
      <c r="K7" s="353">
        <v>-6.3212531281861162E-2</v>
      </c>
      <c r="L7" s="366">
        <v>-682</v>
      </c>
      <c r="M7">
        <v>100</v>
      </c>
      <c r="N7" s="363"/>
      <c r="O7" s="789">
        <v>3.0869694271297123E-2</v>
      </c>
      <c r="P7" s="134">
        <v>-4.3400000000000001E-2</v>
      </c>
      <c r="Q7" s="148"/>
      <c r="R7" s="48"/>
      <c r="S7" s="48"/>
      <c r="T7" s="48"/>
      <c r="U7" s="48"/>
    </row>
    <row r="8" spans="1:21" ht="21.95" customHeight="1" x14ac:dyDescent="0.25">
      <c r="A8" s="50"/>
      <c r="B8" s="50"/>
      <c r="C8" s="51"/>
      <c r="E8" s="22" t="s">
        <v>174</v>
      </c>
      <c r="F8" s="2">
        <v>26.12</v>
      </c>
      <c r="G8" s="2">
        <v>37.765464285714266</v>
      </c>
      <c r="H8" s="49">
        <v>280</v>
      </c>
      <c r="I8" s="48">
        <v>10574.329999999994</v>
      </c>
      <c r="J8" s="366">
        <v>-3260.7299999999941</v>
      </c>
      <c r="K8" s="353">
        <v>-0.30836279934520638</v>
      </c>
      <c r="L8" s="366">
        <v>-3185.7099999999941</v>
      </c>
      <c r="M8">
        <v>100</v>
      </c>
      <c r="N8" s="363"/>
      <c r="O8" s="789">
        <v>3.5222052067381319E-2</v>
      </c>
      <c r="P8" s="134">
        <v>-6.6500000000000004E-2</v>
      </c>
      <c r="Q8" s="437"/>
      <c r="R8" s="48"/>
      <c r="S8" s="48"/>
    </row>
    <row r="9" spans="1:21" ht="21.95" customHeight="1" x14ac:dyDescent="0.25">
      <c r="A9" s="50"/>
      <c r="B9" s="50"/>
      <c r="C9" s="51"/>
      <c r="E9" s="22" t="s">
        <v>215</v>
      </c>
      <c r="F9" s="2">
        <v>48.88</v>
      </c>
      <c r="G9" s="2">
        <v>59.34813333333333</v>
      </c>
      <c r="H9" s="329">
        <v>150</v>
      </c>
      <c r="I9" s="48">
        <v>8902.2199999999993</v>
      </c>
      <c r="J9" s="366">
        <v>-1570.2199999999993</v>
      </c>
      <c r="K9" s="353">
        <v>-0.17638521627189613</v>
      </c>
      <c r="L9" s="366">
        <v>-412.350000000004</v>
      </c>
      <c r="M9">
        <v>100</v>
      </c>
      <c r="N9" s="363"/>
      <c r="O9" s="789">
        <v>2.5368248772504091E-2</v>
      </c>
      <c r="P9" s="134">
        <v>-4.8500000000000001E-2</v>
      </c>
      <c r="R9" s="48"/>
    </row>
    <row r="10" spans="1:21" ht="21.95" customHeight="1" x14ac:dyDescent="0.25">
      <c r="A10" s="50"/>
      <c r="B10" s="50"/>
      <c r="C10" s="51"/>
      <c r="E10" s="22" t="s">
        <v>334</v>
      </c>
      <c r="F10" s="2">
        <v>10.5007</v>
      </c>
      <c r="G10" s="2">
        <v>13.059716666666667</v>
      </c>
      <c r="H10" s="329">
        <v>600</v>
      </c>
      <c r="I10" s="48">
        <v>7835.83</v>
      </c>
      <c r="J10" s="366">
        <v>-1535.4099999999999</v>
      </c>
      <c r="K10" s="353">
        <v>-0.19594733423262117</v>
      </c>
      <c r="L10" s="366">
        <v>-251.99000000000524</v>
      </c>
      <c r="M10">
        <v>300</v>
      </c>
      <c r="N10" s="363"/>
      <c r="O10" s="789">
        <v>0</v>
      </c>
      <c r="P10" s="134">
        <v>-6.08E-2</v>
      </c>
      <c r="R10" s="48"/>
    </row>
    <row r="11" spans="1:21" ht="21.95" customHeight="1" x14ac:dyDescent="0.25">
      <c r="A11" s="51"/>
      <c r="B11" s="155"/>
      <c r="C11" s="330"/>
      <c r="E11" s="22" t="s">
        <v>788</v>
      </c>
      <c r="F11" s="2">
        <v>71.81</v>
      </c>
      <c r="G11" s="2">
        <v>74.383399999999995</v>
      </c>
      <c r="H11" s="49">
        <v>100</v>
      </c>
      <c r="I11" s="48">
        <v>7438.3399999999992</v>
      </c>
      <c r="J11" s="366">
        <v>-257.34000000000015</v>
      </c>
      <c r="K11" s="353">
        <v>-3.4596428773086371E-2</v>
      </c>
      <c r="L11" s="366">
        <v>-257.34000000000015</v>
      </c>
      <c r="M11" s="29">
        <v>43150</v>
      </c>
      <c r="N11" s="363"/>
      <c r="O11" s="789">
        <v>0</v>
      </c>
      <c r="P11" s="134">
        <v>-3.4299999999999997E-2</v>
      </c>
      <c r="R11" s="48"/>
      <c r="S11" s="48"/>
      <c r="T11" s="48"/>
    </row>
    <row r="12" spans="1:21" ht="21.95" customHeight="1" x14ac:dyDescent="0.25">
      <c r="A12" s="50"/>
      <c r="B12" s="51"/>
      <c r="C12" s="51"/>
      <c r="E12" s="22" t="s">
        <v>985</v>
      </c>
      <c r="F12" s="2">
        <v>243.27</v>
      </c>
      <c r="G12" s="2">
        <v>247.69500000000002</v>
      </c>
      <c r="H12" s="329">
        <v>30</v>
      </c>
      <c r="I12" s="48">
        <v>7430.85</v>
      </c>
      <c r="J12" s="366">
        <v>-132.75</v>
      </c>
      <c r="K12" s="353">
        <v>-1.7864712650638936E-2</v>
      </c>
      <c r="L12" s="366">
        <v>-132.75</v>
      </c>
      <c r="M12" s="29">
        <v>43164</v>
      </c>
      <c r="N12" s="2"/>
      <c r="O12" s="789">
        <v>0</v>
      </c>
      <c r="P12" s="134">
        <v>-4.5699999999999998E-2</v>
      </c>
      <c r="Q12" s="148"/>
      <c r="R12" s="48"/>
      <c r="S12" s="48"/>
    </row>
    <row r="13" spans="1:21" ht="21.95" customHeight="1" x14ac:dyDescent="0.25">
      <c r="A13" s="50"/>
      <c r="B13" s="50"/>
      <c r="C13" s="51"/>
      <c r="E13" s="22" t="s">
        <v>790</v>
      </c>
      <c r="F13" s="2">
        <v>70.430000000000007</v>
      </c>
      <c r="G13" s="2">
        <v>70.825099999999978</v>
      </c>
      <c r="H13" s="329">
        <v>100</v>
      </c>
      <c r="I13" s="48">
        <v>7082.5099999999975</v>
      </c>
      <c r="J13" s="366">
        <v>-39.50999999999749</v>
      </c>
      <c r="K13" s="353">
        <v>-5.5785307751061563E-3</v>
      </c>
      <c r="L13" s="366">
        <v>-39.50999999999749</v>
      </c>
      <c r="M13">
        <v>50</v>
      </c>
      <c r="N13" s="363"/>
      <c r="O13" s="789">
        <v>2.2717591935254862E-2</v>
      </c>
      <c r="P13" s="134">
        <v>-4.2599999999999999E-2</v>
      </c>
      <c r="S13" s="48"/>
      <c r="U13" s="48"/>
    </row>
    <row r="14" spans="1:21" ht="21.95" customHeight="1" x14ac:dyDescent="0.25">
      <c r="A14" s="50"/>
      <c r="B14" s="50"/>
      <c r="C14" s="51"/>
      <c r="E14" s="22" t="s">
        <v>173</v>
      </c>
      <c r="F14" s="2">
        <v>58.16</v>
      </c>
      <c r="G14" s="2">
        <v>53.050416666666671</v>
      </c>
      <c r="H14" s="329">
        <v>120</v>
      </c>
      <c r="I14" s="48">
        <v>6366.05</v>
      </c>
      <c r="J14" s="366">
        <v>613.14999999999964</v>
      </c>
      <c r="K14" s="353">
        <v>9.6315611721554034E-2</v>
      </c>
      <c r="L14" s="366">
        <v>2217.7300000000014</v>
      </c>
      <c r="M14">
        <v>80</v>
      </c>
      <c r="N14" s="363"/>
      <c r="O14" s="789">
        <v>2.6822558459422285E-2</v>
      </c>
      <c r="P14" s="134">
        <v>-9.2200000000000004E-2</v>
      </c>
      <c r="Q14" s="48"/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171</v>
      </c>
      <c r="F15" s="2">
        <v>54.01</v>
      </c>
      <c r="G15" s="2">
        <v>54.189600000000013</v>
      </c>
      <c r="H15" s="49">
        <v>100</v>
      </c>
      <c r="I15" s="48">
        <v>5418.9600000000009</v>
      </c>
      <c r="J15" s="366">
        <v>-17.959999999999127</v>
      </c>
      <c r="K15" s="353">
        <v>-3.3142890886814964E-3</v>
      </c>
      <c r="L15" s="48">
        <v>31.990000000000691</v>
      </c>
      <c r="M15">
        <v>60</v>
      </c>
      <c r="N15" s="363"/>
      <c r="O15" s="789">
        <v>3.6289576004443623E-2</v>
      </c>
      <c r="P15" s="134">
        <v>-3.4700000000000002E-2</v>
      </c>
      <c r="R15" s="48"/>
      <c r="S15" s="48"/>
      <c r="T15" s="48"/>
    </row>
    <row r="16" spans="1:21" ht="21.95" customHeight="1" x14ac:dyDescent="0.25">
      <c r="A16" s="50"/>
      <c r="B16" s="51"/>
      <c r="C16" s="51"/>
      <c r="E16" s="22" t="s">
        <v>889</v>
      </c>
      <c r="F16" s="2">
        <v>88.2</v>
      </c>
      <c r="G16" s="2">
        <v>86.289999999999992</v>
      </c>
      <c r="H16" s="329">
        <v>60</v>
      </c>
      <c r="I16" s="48">
        <v>5177.3999999999996</v>
      </c>
      <c r="J16" s="366">
        <v>114.60000000000036</v>
      </c>
      <c r="K16" s="353">
        <v>2.2134662185653159E-2</v>
      </c>
      <c r="L16" s="366">
        <v>114.60000000000036</v>
      </c>
      <c r="M16">
        <v>30</v>
      </c>
      <c r="N16" s="363"/>
      <c r="O16" s="789">
        <v>7.7097505668934242E-3</v>
      </c>
      <c r="P16" s="134">
        <v>-2.29E-2</v>
      </c>
      <c r="Q16" s="148"/>
      <c r="R16" s="48"/>
      <c r="S16" s="48"/>
    </row>
    <row r="17" spans="1:21" ht="21.95" customHeight="1" x14ac:dyDescent="0.25">
      <c r="A17" s="50"/>
      <c r="B17" s="51"/>
      <c r="C17" s="51"/>
      <c r="E17" s="22" t="s">
        <v>728</v>
      </c>
      <c r="F17" s="2">
        <v>109.86</v>
      </c>
      <c r="G17" s="2">
        <v>85.350333333333339</v>
      </c>
      <c r="H17" s="329">
        <v>60</v>
      </c>
      <c r="I17" s="48">
        <v>5121.0200000000004</v>
      </c>
      <c r="J17" s="366">
        <v>1470.58</v>
      </c>
      <c r="K17" s="353">
        <v>0.28716544750850409</v>
      </c>
      <c r="L17" s="366">
        <v>1470.58</v>
      </c>
      <c r="M17">
        <v>50</v>
      </c>
      <c r="N17" s="363"/>
      <c r="O17" s="789">
        <v>2.8E-3</v>
      </c>
      <c r="P17" s="134">
        <v>-3.5700000000000003E-2</v>
      </c>
      <c r="Q17" s="148"/>
      <c r="R17" s="48"/>
      <c r="S17" s="48"/>
    </row>
    <row r="18" spans="1:21" ht="21.95" customHeight="1" x14ac:dyDescent="0.25">
      <c r="A18" s="50"/>
      <c r="B18" s="50"/>
      <c r="C18" s="51"/>
      <c r="E18" s="22" t="s">
        <v>988</v>
      </c>
      <c r="F18" s="2">
        <v>36.630000000000003</v>
      </c>
      <c r="G18" s="2">
        <v>36.58</v>
      </c>
      <c r="H18" s="329">
        <v>100</v>
      </c>
      <c r="I18" s="48">
        <v>3658</v>
      </c>
      <c r="J18" s="366">
        <v>5.0000000000004547</v>
      </c>
      <c r="K18" s="353">
        <v>1.3668671405140586E-3</v>
      </c>
      <c r="L18" s="366">
        <v>5.0000000000004547</v>
      </c>
      <c r="M18" s="29">
        <v>43167</v>
      </c>
      <c r="N18" s="2"/>
      <c r="O18" s="789">
        <v>0</v>
      </c>
      <c r="P18" s="134">
        <v>-4.5699999999999998E-2</v>
      </c>
      <c r="R18" s="48"/>
      <c r="S18" s="48"/>
    </row>
    <row r="19" spans="1:21" ht="21.95" customHeight="1" x14ac:dyDescent="0.25">
      <c r="A19" s="50"/>
      <c r="B19" s="50"/>
      <c r="C19" s="51"/>
      <c r="E19" s="22" t="s">
        <v>912</v>
      </c>
      <c r="F19" s="2">
        <v>91.34</v>
      </c>
      <c r="G19" s="2">
        <v>90.08</v>
      </c>
      <c r="H19" s="329">
        <v>40</v>
      </c>
      <c r="I19" s="48">
        <v>3603.2</v>
      </c>
      <c r="J19" s="366">
        <v>50.400000000000546</v>
      </c>
      <c r="K19" s="353">
        <v>1.3987566607460093E-2</v>
      </c>
      <c r="L19" s="366">
        <v>50.400000000000546</v>
      </c>
      <c r="M19">
        <v>40</v>
      </c>
      <c r="N19" s="363"/>
      <c r="O19" s="789">
        <v>2.4961681629078167E-2</v>
      </c>
      <c r="P19" s="134">
        <v>-2.9600000000000001E-2</v>
      </c>
      <c r="R19" s="48"/>
      <c r="S19" s="48"/>
      <c r="T19" s="48"/>
      <c r="U19" s="48"/>
    </row>
    <row r="20" spans="1:21" ht="21.95" customHeight="1" x14ac:dyDescent="0.25">
      <c r="A20" s="155"/>
      <c r="B20" s="50"/>
      <c r="C20" s="51"/>
      <c r="E20" s="22" t="s">
        <v>55</v>
      </c>
      <c r="F20" s="2">
        <v>78.37</v>
      </c>
      <c r="G20" s="2">
        <v>71.650000000000006</v>
      </c>
      <c r="H20" s="49">
        <v>50</v>
      </c>
      <c r="I20" s="48">
        <v>3582.5000000000005</v>
      </c>
      <c r="J20" s="366">
        <v>335.99999999999955</v>
      </c>
      <c r="K20" s="353">
        <v>9.3789253314724333E-2</v>
      </c>
      <c r="L20" s="48">
        <v>1146.1299999999896</v>
      </c>
      <c r="M20">
        <v>50</v>
      </c>
      <c r="N20" s="363"/>
      <c r="O20" s="789">
        <v>2.6540768151078219E-2</v>
      </c>
      <c r="P20" s="134">
        <v>-4.1099999999999998E-2</v>
      </c>
      <c r="Q20" s="148"/>
      <c r="R20" s="48"/>
      <c r="S20" s="48"/>
      <c r="T20" s="48"/>
    </row>
    <row r="21" spans="1:21" ht="21.95" customHeight="1" x14ac:dyDescent="0.25">
      <c r="A21" s="51"/>
      <c r="B21" s="50"/>
      <c r="C21" s="51"/>
      <c r="E21" s="22" t="s">
        <v>841</v>
      </c>
      <c r="F21" s="2">
        <v>14.91</v>
      </c>
      <c r="G21" s="2">
        <v>17.45</v>
      </c>
      <c r="H21" s="329">
        <v>200</v>
      </c>
      <c r="I21" s="48">
        <v>3490</v>
      </c>
      <c r="J21" s="366">
        <v>-508</v>
      </c>
      <c r="K21" s="353">
        <v>-0.14555873925501428</v>
      </c>
      <c r="L21" s="366">
        <v>-508</v>
      </c>
      <c r="M21">
        <v>200</v>
      </c>
      <c r="N21" s="363"/>
      <c r="O21" s="789">
        <v>3.219315895372233E-2</v>
      </c>
      <c r="P21" s="134">
        <v>-4.6699999999999998E-2</v>
      </c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986</v>
      </c>
      <c r="F22" s="2">
        <v>145.22</v>
      </c>
      <c r="G22" s="2">
        <v>150</v>
      </c>
      <c r="H22" s="329">
        <v>20</v>
      </c>
      <c r="I22" s="48">
        <v>3000</v>
      </c>
      <c r="J22" s="366">
        <v>-95.599999999999909</v>
      </c>
      <c r="K22" s="353">
        <v>-3.1866666666666675E-2</v>
      </c>
      <c r="L22" s="366">
        <v>-95.599999999999909</v>
      </c>
      <c r="M22" s="29">
        <v>43164</v>
      </c>
      <c r="N22" s="363"/>
      <c r="O22" s="789">
        <v>0</v>
      </c>
      <c r="P22" s="134">
        <v>-3.15E-2</v>
      </c>
      <c r="Q22" s="148"/>
      <c r="S22" s="48"/>
    </row>
    <row r="23" spans="1:21" ht="21.95" customHeight="1" x14ac:dyDescent="0.25">
      <c r="A23" s="50"/>
      <c r="B23" s="51"/>
      <c r="C23" s="51"/>
      <c r="E23" s="22" t="s">
        <v>730</v>
      </c>
      <c r="F23" s="2">
        <v>182.81</v>
      </c>
      <c r="G23" s="2">
        <v>149.05549999999999</v>
      </c>
      <c r="H23" s="329">
        <v>20</v>
      </c>
      <c r="I23" s="429">
        <v>2981.1099999999997</v>
      </c>
      <c r="J23" s="366">
        <v>675.09000000000015</v>
      </c>
      <c r="K23" s="353">
        <v>0.22645591742673038</v>
      </c>
      <c r="L23" s="366">
        <v>818.12000000000035</v>
      </c>
      <c r="M23">
        <v>20</v>
      </c>
      <c r="N23" s="363"/>
      <c r="O23" s="789">
        <v>2.7350801378480389E-3</v>
      </c>
      <c r="P23" s="134">
        <v>-4.2999999999999997E-2</v>
      </c>
      <c r="R23" s="48"/>
      <c r="S23" s="48"/>
      <c r="T23" s="48"/>
    </row>
    <row r="24" spans="1:21" ht="21.95" customHeight="1" x14ac:dyDescent="0.25">
      <c r="A24" s="50"/>
      <c r="B24" s="50"/>
      <c r="C24" s="51"/>
      <c r="E24" s="22" t="s">
        <v>338</v>
      </c>
      <c r="F24" s="2">
        <v>19.739999999999998</v>
      </c>
      <c r="G24" s="2">
        <v>21.28</v>
      </c>
      <c r="H24" s="329">
        <v>100</v>
      </c>
      <c r="I24" s="48">
        <v>2128</v>
      </c>
      <c r="J24" s="366">
        <v>-154.00000000000023</v>
      </c>
      <c r="K24" s="353">
        <v>-7.2368421052631707E-2</v>
      </c>
      <c r="L24" s="366">
        <v>130.97000000000457</v>
      </c>
      <c r="M24" s="29">
        <v>43147</v>
      </c>
      <c r="N24" s="363"/>
      <c r="O24" s="789">
        <v>1.458966565349544E-2</v>
      </c>
      <c r="P24" s="134">
        <v>-4.0399999999999998E-2</v>
      </c>
      <c r="Q24" s="148"/>
      <c r="R24" s="48"/>
      <c r="S24" s="48"/>
      <c r="T24" s="48"/>
    </row>
    <row r="25" spans="1:21" ht="21.95" customHeight="1" x14ac:dyDescent="0.25">
      <c r="A25" s="50"/>
      <c r="B25" s="50"/>
      <c r="C25" s="51"/>
      <c r="E25" s="22" t="s">
        <v>62</v>
      </c>
      <c r="F25" s="2">
        <v>328.31</v>
      </c>
      <c r="G25" s="2">
        <v>328.31</v>
      </c>
      <c r="H25" s="49">
        <v>0</v>
      </c>
      <c r="I25" s="48">
        <v>0</v>
      </c>
      <c r="J25" s="366">
        <v>0</v>
      </c>
      <c r="K25" s="353">
        <v>0</v>
      </c>
      <c r="L25" s="48">
        <v>1659.3600000000079</v>
      </c>
      <c r="M25">
        <v>0</v>
      </c>
      <c r="N25" s="363"/>
      <c r="O25" s="789">
        <v>0</v>
      </c>
      <c r="P25" s="134">
        <v>-4.5100000000000001E-2</v>
      </c>
      <c r="R25" s="48"/>
      <c r="S25" s="48"/>
      <c r="T25" s="48"/>
    </row>
    <row r="26" spans="1:21" ht="21.95" customHeight="1" x14ac:dyDescent="0.25">
      <c r="A26" s="50"/>
      <c r="B26" s="50"/>
      <c r="C26" s="51"/>
      <c r="E26" s="22" t="s">
        <v>204</v>
      </c>
      <c r="F26" s="2">
        <v>40.33</v>
      </c>
      <c r="G26" s="2">
        <v>40.33</v>
      </c>
      <c r="H26" s="329">
        <v>0</v>
      </c>
      <c r="I26" s="48">
        <v>0</v>
      </c>
      <c r="J26" s="366">
        <v>0</v>
      </c>
      <c r="K26" s="353">
        <v>0</v>
      </c>
      <c r="L26" s="366">
        <v>555.54</v>
      </c>
      <c r="M26">
        <v>0</v>
      </c>
      <c r="N26" s="363"/>
      <c r="O26" s="789">
        <v>0</v>
      </c>
      <c r="P26" s="134">
        <v>-4.2000000000000003E-2</v>
      </c>
    </row>
    <row r="27" spans="1:21" ht="21.95" customHeight="1" x14ac:dyDescent="0.25">
      <c r="A27" s="60"/>
      <c r="B27" s="61"/>
      <c r="C27" s="60"/>
      <c r="E27" s="22" t="s">
        <v>203</v>
      </c>
      <c r="F27" s="2">
        <v>156.49</v>
      </c>
      <c r="G27" s="2">
        <v>156.49</v>
      </c>
      <c r="H27" s="49">
        <v>0</v>
      </c>
      <c r="I27" s="48">
        <v>0</v>
      </c>
      <c r="J27" s="366">
        <v>0</v>
      </c>
      <c r="K27" s="353">
        <v>0</v>
      </c>
      <c r="L27" s="366">
        <v>363.09999999999945</v>
      </c>
      <c r="M27">
        <v>0</v>
      </c>
      <c r="N27" s="2"/>
      <c r="O27" s="789">
        <v>1.5900000000000001E-2</v>
      </c>
      <c r="P27" s="134">
        <v>-2.5000000000000001E-2</v>
      </c>
      <c r="R27" s="48"/>
      <c r="S27" s="48"/>
    </row>
    <row r="28" spans="1:21" ht="21.95" customHeight="1" x14ac:dyDescent="0.25">
      <c r="A28" s="51"/>
      <c r="B28" s="50"/>
      <c r="C28" s="51"/>
      <c r="E28" s="22" t="s">
        <v>226</v>
      </c>
      <c r="F28" s="2">
        <v>92.01</v>
      </c>
      <c r="G28" s="2">
        <v>92.01</v>
      </c>
      <c r="H28" s="49">
        <v>0</v>
      </c>
      <c r="I28" s="48">
        <v>0</v>
      </c>
      <c r="J28" s="366">
        <v>0</v>
      </c>
      <c r="K28" s="353">
        <v>0</v>
      </c>
      <c r="L28" s="48">
        <v>231.53999999999996</v>
      </c>
      <c r="M28">
        <v>0</v>
      </c>
      <c r="N28" s="363"/>
      <c r="O28" s="789">
        <v>1.6199999999999999E-2</v>
      </c>
      <c r="P28" s="134">
        <v>-4.8300000000000003E-2</v>
      </c>
      <c r="Q28" s="437"/>
      <c r="R28" s="48"/>
      <c r="S28" s="48"/>
    </row>
    <row r="29" spans="1:21" ht="21.95" customHeight="1" x14ac:dyDescent="0.25">
      <c r="A29" s="50"/>
      <c r="B29" s="50"/>
      <c r="C29" s="51"/>
      <c r="E29" s="22" t="s">
        <v>269</v>
      </c>
      <c r="F29" s="2">
        <v>95.8</v>
      </c>
      <c r="G29" s="2">
        <v>95.8</v>
      </c>
      <c r="H29" s="49">
        <v>0</v>
      </c>
      <c r="I29" s="48">
        <v>0</v>
      </c>
      <c r="J29" s="366">
        <v>0</v>
      </c>
      <c r="K29" s="353">
        <v>0</v>
      </c>
      <c r="L29" s="366">
        <v>1857.7799999999988</v>
      </c>
      <c r="M29">
        <v>0</v>
      </c>
      <c r="N29" s="2"/>
      <c r="O29" s="789">
        <v>1.49E-2</v>
      </c>
      <c r="P29" s="134">
        <v>-3.6600000000000001E-2</v>
      </c>
      <c r="R29" s="48"/>
      <c r="S29" s="48"/>
      <c r="T29" s="48"/>
    </row>
    <row r="30" spans="1:21" ht="21.95" customHeight="1" x14ac:dyDescent="0.25">
      <c r="A30" s="50"/>
      <c r="B30" s="50"/>
      <c r="C30" s="51"/>
      <c r="E30" s="22" t="s">
        <v>23</v>
      </c>
      <c r="F30" s="2">
        <v>31.37</v>
      </c>
      <c r="G30" s="2">
        <v>31.37</v>
      </c>
      <c r="H30" s="329">
        <v>0</v>
      </c>
      <c r="I30" s="48">
        <v>0</v>
      </c>
      <c r="J30" s="366">
        <v>0</v>
      </c>
      <c r="K30" s="353">
        <v>0</v>
      </c>
      <c r="L30" s="366">
        <v>171.89999999999964</v>
      </c>
      <c r="M30">
        <v>0</v>
      </c>
      <c r="N30" s="363"/>
      <c r="O30" s="789">
        <v>0</v>
      </c>
      <c r="P30" s="134">
        <v>-4.6800000000000001E-2</v>
      </c>
      <c r="Q30" s="48"/>
      <c r="R30" s="48"/>
      <c r="S30" s="48"/>
      <c r="T30" s="48"/>
    </row>
    <row r="31" spans="1:21" ht="21.95" customHeight="1" x14ac:dyDescent="0.25">
      <c r="A31" s="50"/>
      <c r="B31" s="50"/>
      <c r="C31" s="51"/>
      <c r="E31" s="22" t="s">
        <v>270</v>
      </c>
      <c r="F31" s="2">
        <v>36.14</v>
      </c>
      <c r="G31" s="2">
        <v>36.14</v>
      </c>
      <c r="H31" s="329">
        <v>0</v>
      </c>
      <c r="I31" s="48">
        <v>0</v>
      </c>
      <c r="J31" s="366">
        <v>0</v>
      </c>
      <c r="K31" s="353">
        <v>0</v>
      </c>
      <c r="L31" s="366">
        <v>98.449999999999818</v>
      </c>
      <c r="M31">
        <v>0</v>
      </c>
      <c r="N31" s="363"/>
      <c r="O31" s="789">
        <v>1.11E-2</v>
      </c>
      <c r="P31" s="134">
        <v>-1.5800000000000002E-2</v>
      </c>
      <c r="Q31" s="148"/>
      <c r="R31" s="48"/>
      <c r="S31" s="48"/>
    </row>
    <row r="32" spans="1:21" ht="21.95" customHeight="1" x14ac:dyDescent="0.25">
      <c r="A32" s="50"/>
      <c r="B32" s="50"/>
      <c r="C32" s="51"/>
      <c r="E32" s="22" t="s">
        <v>36</v>
      </c>
      <c r="F32" s="2">
        <v>56.99</v>
      </c>
      <c r="G32" s="2">
        <v>56.99</v>
      </c>
      <c r="H32" s="49">
        <v>0</v>
      </c>
      <c r="I32" s="48">
        <v>0</v>
      </c>
      <c r="J32" s="366">
        <v>0</v>
      </c>
      <c r="K32" s="353">
        <v>0</v>
      </c>
      <c r="L32" s="48">
        <v>117.73999999999978</v>
      </c>
      <c r="M32">
        <v>0</v>
      </c>
      <c r="N32" s="363"/>
      <c r="O32" s="789">
        <v>7.4000000000000003E-3</v>
      </c>
      <c r="P32" s="134">
        <v>-2.93E-2</v>
      </c>
      <c r="S32" s="48"/>
      <c r="T32" s="48"/>
    </row>
    <row r="33" spans="1:20" ht="21.95" customHeight="1" x14ac:dyDescent="0.25">
      <c r="A33" s="50"/>
      <c r="B33" s="50"/>
      <c r="C33" s="51"/>
      <c r="E33" s="22" t="s">
        <v>321</v>
      </c>
      <c r="F33" s="2">
        <v>37.54</v>
      </c>
      <c r="G33" s="2">
        <v>37.54</v>
      </c>
      <c r="H33" s="329">
        <v>0</v>
      </c>
      <c r="I33" s="48">
        <v>0</v>
      </c>
      <c r="J33" s="366">
        <v>0</v>
      </c>
      <c r="K33" s="353">
        <v>0</v>
      </c>
      <c r="L33" s="366">
        <v>264.92000000000007</v>
      </c>
      <c r="M33">
        <v>0</v>
      </c>
      <c r="N33" s="363"/>
      <c r="O33" s="789">
        <v>3.4200000000000001E-2</v>
      </c>
      <c r="P33" s="134">
        <v>-1.9800000000000002E-2</v>
      </c>
      <c r="Q33" s="148"/>
      <c r="R33" s="48"/>
      <c r="S33" s="48"/>
      <c r="T33" s="48"/>
    </row>
    <row r="34" spans="1:20" ht="21.95" customHeight="1" x14ac:dyDescent="0.25">
      <c r="A34" s="50"/>
      <c r="B34" s="50"/>
      <c r="C34" s="51"/>
      <c r="E34" s="22" t="s">
        <v>304</v>
      </c>
      <c r="F34" s="2">
        <v>60.96</v>
      </c>
      <c r="G34" s="2">
        <v>60.96</v>
      </c>
      <c r="H34" s="49">
        <v>0</v>
      </c>
      <c r="I34" s="48">
        <v>0</v>
      </c>
      <c r="J34" s="366">
        <v>0</v>
      </c>
      <c r="K34" s="353">
        <v>0</v>
      </c>
      <c r="L34" s="366">
        <v>910.79999999999927</v>
      </c>
      <c r="M34">
        <v>0</v>
      </c>
      <c r="N34" s="2"/>
      <c r="O34" s="789">
        <v>2.87E-2</v>
      </c>
      <c r="P34" s="134">
        <v>-3.9699999999999999E-2</v>
      </c>
      <c r="Q34" s="148"/>
      <c r="R34" s="48"/>
      <c r="S34" s="48"/>
      <c r="T34" s="48"/>
    </row>
    <row r="35" spans="1:20" ht="21.95" customHeight="1" x14ac:dyDescent="0.25">
      <c r="A35" s="50"/>
      <c r="B35" s="50"/>
      <c r="C35" s="51"/>
      <c r="E35" s="22" t="s">
        <v>744</v>
      </c>
      <c r="F35" s="2">
        <v>30.56</v>
      </c>
      <c r="G35" s="2">
        <v>30.56</v>
      </c>
      <c r="H35" s="49">
        <v>0</v>
      </c>
      <c r="I35" s="48">
        <v>0</v>
      </c>
      <c r="J35" s="366">
        <v>0</v>
      </c>
      <c r="K35" s="353">
        <v>0</v>
      </c>
      <c r="L35" s="48">
        <v>557.94000000000005</v>
      </c>
      <c r="M35">
        <v>0</v>
      </c>
      <c r="N35" s="363"/>
      <c r="O35" s="789">
        <v>4.0599999999999997E-2</v>
      </c>
      <c r="P35" s="134">
        <v>-4.7699999999999999E-2</v>
      </c>
      <c r="Q35" s="437"/>
      <c r="R35" s="48"/>
      <c r="S35" s="48"/>
    </row>
    <row r="36" spans="1:20" ht="21.95" customHeight="1" x14ac:dyDescent="0.25">
      <c r="A36" s="51"/>
      <c r="B36" s="51"/>
      <c r="C36" s="51"/>
      <c r="E36" s="22" t="s">
        <v>250</v>
      </c>
      <c r="F36" s="2">
        <v>62.81</v>
      </c>
      <c r="G36" s="2">
        <v>62.81</v>
      </c>
      <c r="H36" s="329">
        <v>0</v>
      </c>
      <c r="I36" s="48">
        <v>0</v>
      </c>
      <c r="J36" s="366">
        <v>0</v>
      </c>
      <c r="K36" s="353">
        <v>0</v>
      </c>
      <c r="L36" s="366">
        <v>329.74000000000069</v>
      </c>
      <c r="M36">
        <v>0</v>
      </c>
      <c r="N36" s="363"/>
      <c r="O36" s="789">
        <v>0</v>
      </c>
      <c r="P36" s="134">
        <v>-4.4299999999999999E-2</v>
      </c>
      <c r="R36" s="48"/>
      <c r="S36" s="48"/>
      <c r="T36" s="48"/>
    </row>
    <row r="37" spans="1:20" ht="21.95" customHeight="1" x14ac:dyDescent="0.25">
      <c r="A37" s="155"/>
      <c r="B37" s="50"/>
      <c r="C37" s="51"/>
      <c r="E37" s="22" t="s">
        <v>721</v>
      </c>
      <c r="F37" s="2">
        <v>26.52</v>
      </c>
      <c r="G37" s="2">
        <v>26.52</v>
      </c>
      <c r="H37" s="329">
        <v>0</v>
      </c>
      <c r="I37" s="48">
        <v>0</v>
      </c>
      <c r="J37" s="366">
        <v>0</v>
      </c>
      <c r="K37" s="353">
        <v>0</v>
      </c>
      <c r="L37" s="366">
        <v>309.26000000000022</v>
      </c>
      <c r="M37">
        <v>0</v>
      </c>
      <c r="N37" s="363"/>
      <c r="O37" s="789">
        <v>8.8000000000000005E-3</v>
      </c>
      <c r="P37" s="134">
        <v>-8.8999999999999996E-2</v>
      </c>
      <c r="Q37" s="148"/>
      <c r="R37" s="48"/>
      <c r="S37" s="48"/>
      <c r="T37" s="48"/>
    </row>
    <row r="38" spans="1:20" ht="21.95" customHeight="1" x14ac:dyDescent="0.25">
      <c r="A38" s="50"/>
      <c r="B38" s="50"/>
      <c r="C38" s="51"/>
      <c r="E38" s="22" t="s">
        <v>279</v>
      </c>
      <c r="F38" s="2">
        <v>73.319999999999993</v>
      </c>
      <c r="G38" s="2">
        <v>73.319999999999993</v>
      </c>
      <c r="H38" s="329">
        <v>0</v>
      </c>
      <c r="I38" s="48">
        <v>0</v>
      </c>
      <c r="J38" s="366">
        <v>0</v>
      </c>
      <c r="K38" s="353">
        <v>0</v>
      </c>
      <c r="L38" s="366">
        <v>197.20999999999549</v>
      </c>
      <c r="M38">
        <v>0</v>
      </c>
      <c r="N38" s="363"/>
      <c r="O38" s="789">
        <v>2.5499999999999998E-2</v>
      </c>
      <c r="P38" s="134">
        <v>-4.0899999999999999E-2</v>
      </c>
      <c r="Q38" s="148"/>
      <c r="S38" s="48"/>
      <c r="T38" s="48"/>
    </row>
    <row r="39" spans="1:20" ht="21.95" customHeight="1" x14ac:dyDescent="0.25">
      <c r="A39" s="50"/>
      <c r="B39" s="50"/>
      <c r="C39" s="51"/>
      <c r="E39" s="22" t="s">
        <v>791</v>
      </c>
      <c r="F39" s="2">
        <v>190.27</v>
      </c>
      <c r="G39" s="2">
        <v>190.27</v>
      </c>
      <c r="H39" s="329">
        <v>0</v>
      </c>
      <c r="I39" s="48">
        <v>0</v>
      </c>
      <c r="J39" s="366">
        <v>0</v>
      </c>
      <c r="K39" s="353">
        <v>0</v>
      </c>
      <c r="L39" s="366">
        <v>843.18000000000029</v>
      </c>
      <c r="M39">
        <v>0</v>
      </c>
      <c r="N39" s="363"/>
      <c r="O39" s="789">
        <v>2.8E-3</v>
      </c>
      <c r="P39" s="134">
        <v>-2.7400000000000001E-2</v>
      </c>
      <c r="Q39" s="148"/>
      <c r="R39" s="48"/>
      <c r="S39" s="48"/>
      <c r="T39" s="48"/>
    </row>
    <row r="40" spans="1:20" ht="21.95" customHeight="1" x14ac:dyDescent="0.25">
      <c r="A40" s="50"/>
      <c r="B40" s="51"/>
      <c r="C40" s="51"/>
      <c r="E40" s="22" t="s">
        <v>197</v>
      </c>
      <c r="F40" s="2">
        <v>10.24</v>
      </c>
      <c r="G40" s="2">
        <v>10.24</v>
      </c>
      <c r="H40" s="49">
        <v>0</v>
      </c>
      <c r="I40" s="48">
        <v>0</v>
      </c>
      <c r="J40" s="366">
        <v>0</v>
      </c>
      <c r="K40" s="353">
        <v>0</v>
      </c>
      <c r="L40" s="48">
        <v>495.20999999999913</v>
      </c>
      <c r="M40">
        <v>0</v>
      </c>
      <c r="N40" s="2"/>
      <c r="O40" s="789">
        <v>5.1499999999999997E-2</v>
      </c>
      <c r="P40" s="134">
        <v>-4.3900000000000002E-2</v>
      </c>
      <c r="Q40" s="48"/>
      <c r="R40" s="48"/>
      <c r="S40" s="48"/>
      <c r="T40" s="48"/>
    </row>
    <row r="41" spans="1:20" ht="21.95" customHeight="1" x14ac:dyDescent="0.25">
      <c r="A41" s="51"/>
      <c r="B41" s="51"/>
      <c r="C41" s="51"/>
      <c r="E41" s="22" t="s">
        <v>273</v>
      </c>
      <c r="F41" s="2">
        <v>130.38999999999999</v>
      </c>
      <c r="G41" s="2">
        <v>130.38999999999999</v>
      </c>
      <c r="H41" s="329">
        <v>0</v>
      </c>
      <c r="I41" s="48">
        <v>0</v>
      </c>
      <c r="J41" s="366">
        <v>0</v>
      </c>
      <c r="K41" s="353">
        <v>0</v>
      </c>
      <c r="L41" s="366">
        <v>154.77999999999975</v>
      </c>
      <c r="M41">
        <v>0</v>
      </c>
      <c r="N41" s="363"/>
      <c r="O41" s="789">
        <v>2.5700000000000001E-2</v>
      </c>
      <c r="P41" s="134">
        <v>-5.2900000000000003E-2</v>
      </c>
      <c r="Q41" s="437"/>
      <c r="R41" s="48"/>
      <c r="S41" s="48"/>
      <c r="T41" s="48"/>
    </row>
    <row r="42" spans="1:20" ht="21.95" customHeight="1" x14ac:dyDescent="0.25">
      <c r="A42" s="51"/>
      <c r="B42" s="51"/>
      <c r="C42" s="51"/>
      <c r="E42" s="22" t="s">
        <v>17</v>
      </c>
      <c r="F42" s="2">
        <v>15.06</v>
      </c>
      <c r="G42" s="2">
        <v>15.06</v>
      </c>
      <c r="H42" s="49">
        <v>0</v>
      </c>
      <c r="I42" s="48">
        <v>0</v>
      </c>
      <c r="J42" s="366">
        <v>-20818.210000000079</v>
      </c>
      <c r="K42" s="353">
        <v>0</v>
      </c>
      <c r="L42" s="366">
        <v>-20818.210000000079</v>
      </c>
      <c r="M42">
        <v>0</v>
      </c>
      <c r="N42" s="363"/>
      <c r="O42" s="789">
        <v>0</v>
      </c>
      <c r="P42" s="134">
        <v>-1.2999999999999999E-3</v>
      </c>
      <c r="S42" s="48"/>
      <c r="T42" s="48"/>
    </row>
    <row r="43" spans="1:20" ht="21.95" customHeight="1" x14ac:dyDescent="0.25">
      <c r="A43" s="50"/>
      <c r="B43" s="50"/>
      <c r="C43" s="51"/>
      <c r="E43" s="22" t="s">
        <v>313</v>
      </c>
      <c r="F43" s="2">
        <v>126.7</v>
      </c>
      <c r="G43" s="2">
        <v>126.7</v>
      </c>
      <c r="H43" s="329">
        <v>0</v>
      </c>
      <c r="I43" s="48">
        <v>0</v>
      </c>
      <c r="J43" s="366">
        <v>0</v>
      </c>
      <c r="K43" s="353">
        <v>0</v>
      </c>
      <c r="L43" s="366">
        <v>720.56000000000131</v>
      </c>
      <c r="M43">
        <v>0</v>
      </c>
      <c r="N43" s="363"/>
      <c r="O43" s="789">
        <v>0</v>
      </c>
      <c r="P43" s="134">
        <v>-3.8899999999999997E-2</v>
      </c>
      <c r="Q43" s="148"/>
      <c r="R43" s="48"/>
      <c r="S43" s="48"/>
      <c r="T43" s="48"/>
    </row>
    <row r="44" spans="1:20" ht="21.95" customHeight="1" x14ac:dyDescent="0.25">
      <c r="A44" s="50"/>
      <c r="B44" s="51"/>
      <c r="C44" s="51"/>
      <c r="E44" s="22" t="s">
        <v>742</v>
      </c>
      <c r="F44" s="2">
        <v>76.06</v>
      </c>
      <c r="G44" s="2">
        <v>76.06</v>
      </c>
      <c r="H44" s="329">
        <v>0</v>
      </c>
      <c r="I44" s="48">
        <v>0</v>
      </c>
      <c r="J44" s="366">
        <v>0</v>
      </c>
      <c r="K44" s="353">
        <v>0</v>
      </c>
      <c r="L44" s="366">
        <v>329.55999999999949</v>
      </c>
      <c r="M44">
        <v>0</v>
      </c>
      <c r="N44" s="363"/>
      <c r="O44" s="789">
        <v>1.78E-2</v>
      </c>
      <c r="P44" s="134">
        <v>-3.0700000000000002E-2</v>
      </c>
    </row>
    <row r="45" spans="1:20" ht="21.95" customHeight="1" x14ac:dyDescent="0.25">
      <c r="A45" s="51"/>
      <c r="B45" s="51"/>
      <c r="C45" s="51"/>
      <c r="E45" s="22" t="s">
        <v>789</v>
      </c>
      <c r="F45" s="2">
        <v>731.59</v>
      </c>
      <c r="G45" s="2">
        <v>731.59</v>
      </c>
      <c r="H45" s="49">
        <v>0</v>
      </c>
      <c r="I45" s="48">
        <v>0</v>
      </c>
      <c r="J45" s="366">
        <v>0</v>
      </c>
      <c r="K45" s="353">
        <v>0</v>
      </c>
      <c r="L45" s="366">
        <v>559.89000000000033</v>
      </c>
      <c r="M45">
        <v>0</v>
      </c>
      <c r="N45" s="363"/>
      <c r="O45" s="789">
        <v>0</v>
      </c>
      <c r="P45" s="134">
        <v>-2.53E-2</v>
      </c>
      <c r="R45" s="48"/>
      <c r="S45" s="48"/>
    </row>
    <row r="46" spans="1:20" ht="21.95" customHeight="1" x14ac:dyDescent="0.25">
      <c r="A46" s="50"/>
      <c r="B46" s="50"/>
      <c r="C46" s="51"/>
      <c r="E46" s="22" t="s">
        <v>195</v>
      </c>
      <c r="F46" s="2">
        <v>64.39</v>
      </c>
      <c r="G46" s="2">
        <v>64.39</v>
      </c>
      <c r="H46" s="49">
        <v>0</v>
      </c>
      <c r="I46" s="48">
        <v>0</v>
      </c>
      <c r="J46" s="366">
        <v>0</v>
      </c>
      <c r="K46" s="353">
        <v>0</v>
      </c>
      <c r="L46" s="366">
        <v>785.90999999999985</v>
      </c>
      <c r="M46">
        <v>0</v>
      </c>
      <c r="N46" s="2"/>
      <c r="O46" s="789">
        <v>1.29E-2</v>
      </c>
      <c r="P46" s="134">
        <v>-4.2099999999999999E-2</v>
      </c>
      <c r="Q46" s="148"/>
      <c r="R46" s="48"/>
      <c r="S46" s="48"/>
    </row>
    <row r="47" spans="1:20" ht="21.95" customHeight="1" x14ac:dyDescent="0.25">
      <c r="A47" s="50"/>
      <c r="B47" s="51"/>
      <c r="C47" s="51"/>
      <c r="E47" s="22" t="s">
        <v>225</v>
      </c>
      <c r="F47" s="2">
        <v>58.46</v>
      </c>
      <c r="G47" s="2">
        <v>58.46</v>
      </c>
      <c r="H47" s="329">
        <v>0</v>
      </c>
      <c r="I47" s="48">
        <v>0</v>
      </c>
      <c r="J47" s="366">
        <v>0</v>
      </c>
      <c r="K47" s="353">
        <v>0</v>
      </c>
      <c r="L47" s="366">
        <v>257.64999999999964</v>
      </c>
      <c r="M47">
        <v>0</v>
      </c>
      <c r="N47" s="2"/>
      <c r="O47" s="789">
        <v>0</v>
      </c>
      <c r="P47" s="134">
        <v>-4.2099999999999999E-2</v>
      </c>
      <c r="R47" s="48"/>
      <c r="S47" s="48"/>
      <c r="T47" s="48"/>
    </row>
    <row r="48" spans="1:20" ht="21.95" customHeight="1" x14ac:dyDescent="0.25">
      <c r="A48" s="51"/>
      <c r="B48" s="155"/>
      <c r="C48" s="330"/>
      <c r="E48" s="22" t="s">
        <v>884</v>
      </c>
      <c r="F48" s="2">
        <v>300.3</v>
      </c>
      <c r="G48" s="2">
        <v>300.3</v>
      </c>
      <c r="H48" s="329">
        <v>0</v>
      </c>
      <c r="I48" s="48">
        <v>0</v>
      </c>
      <c r="J48" s="366">
        <v>0</v>
      </c>
      <c r="K48" s="353">
        <v>0</v>
      </c>
      <c r="L48" s="366">
        <v>456.94000000000005</v>
      </c>
      <c r="M48">
        <v>0</v>
      </c>
      <c r="N48" s="363"/>
      <c r="O48" s="789">
        <v>0</v>
      </c>
      <c r="P48" s="134">
        <v>-3.6400000000000002E-2</v>
      </c>
      <c r="Q48" s="148"/>
      <c r="R48" s="48"/>
    </row>
    <row r="49" spans="1:21" ht="21.95" customHeight="1" x14ac:dyDescent="0.25">
      <c r="A49" s="50"/>
      <c r="B49" s="50"/>
      <c r="C49" s="51"/>
      <c r="E49" s="22" t="s">
        <v>34</v>
      </c>
      <c r="F49" s="2">
        <v>39.4</v>
      </c>
      <c r="G49" s="2">
        <v>39.4</v>
      </c>
      <c r="H49" s="49">
        <v>0</v>
      </c>
      <c r="I49" s="48">
        <v>0</v>
      </c>
      <c r="J49" s="366">
        <v>0</v>
      </c>
      <c r="K49" s="353">
        <v>0</v>
      </c>
      <c r="L49" s="48">
        <v>21137.586999999941</v>
      </c>
      <c r="M49">
        <v>0</v>
      </c>
      <c r="N49" s="2"/>
      <c r="O49" s="789">
        <v>0</v>
      </c>
      <c r="P49" s="134">
        <v>-3.4799999999999998E-2</v>
      </c>
      <c r="R49" s="48"/>
    </row>
    <row r="50" spans="1:21" ht="21.95" customHeight="1" x14ac:dyDescent="0.25">
      <c r="A50" s="50"/>
      <c r="B50" s="50"/>
      <c r="C50" s="51"/>
      <c r="E50" s="22" t="s">
        <v>172</v>
      </c>
      <c r="F50" s="2">
        <v>59.44</v>
      </c>
      <c r="G50" s="2">
        <v>59.44</v>
      </c>
      <c r="H50" s="329">
        <v>0</v>
      </c>
      <c r="I50" s="48">
        <v>0</v>
      </c>
      <c r="J50" s="366">
        <v>0</v>
      </c>
      <c r="K50" s="353">
        <v>0</v>
      </c>
      <c r="L50" s="366">
        <v>119.92000000000053</v>
      </c>
      <c r="M50">
        <v>0</v>
      </c>
      <c r="N50" s="363"/>
      <c r="O50" s="789">
        <v>3.6400000000000002E-2</v>
      </c>
      <c r="P50" s="134">
        <v>-4.3900000000000002E-2</v>
      </c>
      <c r="Q50" s="148"/>
      <c r="R50" s="48"/>
      <c r="S50" s="48"/>
      <c r="T50" s="48"/>
    </row>
    <row r="51" spans="1:21" ht="21.95" customHeight="1" x14ac:dyDescent="0.25">
      <c r="A51" s="50"/>
      <c r="B51" s="50"/>
      <c r="C51" s="51"/>
      <c r="E51" s="22" t="s">
        <v>27</v>
      </c>
      <c r="F51" s="2">
        <v>44.52</v>
      </c>
      <c r="G51" s="2">
        <v>44.52</v>
      </c>
      <c r="H51" s="49">
        <v>0</v>
      </c>
      <c r="I51" s="48">
        <v>0</v>
      </c>
      <c r="J51" s="366">
        <v>0</v>
      </c>
      <c r="K51" s="353">
        <v>0</v>
      </c>
      <c r="L51" s="366">
        <v>1407.5400000000009</v>
      </c>
      <c r="M51">
        <v>0</v>
      </c>
      <c r="N51" s="2"/>
      <c r="O51" s="789">
        <v>3.0200000000000001E-2</v>
      </c>
      <c r="P51" s="134">
        <v>-3.5299999999999998E-2</v>
      </c>
    </row>
    <row r="52" spans="1:21" ht="21.95" customHeight="1" x14ac:dyDescent="0.25">
      <c r="A52" s="50"/>
      <c r="B52" s="50"/>
      <c r="C52" s="51"/>
      <c r="E52" s="22" t="s">
        <v>22</v>
      </c>
      <c r="F52" s="2">
        <v>44.49</v>
      </c>
      <c r="G52" s="2">
        <v>44.49</v>
      </c>
      <c r="H52" s="329">
        <v>0</v>
      </c>
      <c r="I52" s="48">
        <v>0</v>
      </c>
      <c r="J52" s="366">
        <v>0</v>
      </c>
      <c r="K52" s="353">
        <v>0</v>
      </c>
      <c r="L52" s="366">
        <v>3178.8000000000466</v>
      </c>
      <c r="M52">
        <v>0</v>
      </c>
      <c r="N52" s="363"/>
      <c r="O52" s="789">
        <v>2.07E-2</v>
      </c>
      <c r="P52" s="134">
        <v>-6.9099999999999995E-2</v>
      </c>
      <c r="R52" s="48"/>
      <c r="S52" s="48"/>
    </row>
    <row r="53" spans="1:21" ht="21.95" customHeight="1" x14ac:dyDescent="0.25">
      <c r="A53" s="50"/>
      <c r="B53" s="50"/>
      <c r="C53" s="51"/>
      <c r="E53" s="22" t="s">
        <v>42</v>
      </c>
      <c r="F53" s="2">
        <v>124.14</v>
      </c>
      <c r="G53" s="2">
        <v>124.14</v>
      </c>
      <c r="H53" s="329">
        <v>0</v>
      </c>
      <c r="I53" s="48">
        <v>0</v>
      </c>
      <c r="J53" s="366">
        <v>0</v>
      </c>
      <c r="K53" s="353">
        <v>0</v>
      </c>
      <c r="L53" s="366">
        <v>128.08999999999833</v>
      </c>
      <c r="M53">
        <v>0</v>
      </c>
      <c r="N53" s="363"/>
      <c r="O53" s="789">
        <v>2.18E-2</v>
      </c>
      <c r="P53" s="134">
        <v>-4.0399999999999998E-2</v>
      </c>
      <c r="Q53" s="148"/>
      <c r="R53" s="48"/>
      <c r="S53" s="48"/>
    </row>
    <row r="54" spans="1:21" ht="21.95" customHeight="1" x14ac:dyDescent="0.25">
      <c r="A54" s="50"/>
      <c r="B54" s="50"/>
      <c r="C54" s="51"/>
      <c r="E54" s="22" t="s">
        <v>271</v>
      </c>
      <c r="F54" s="2">
        <v>56.95</v>
      </c>
      <c r="G54" s="2">
        <v>56.95</v>
      </c>
      <c r="H54" s="49">
        <v>0</v>
      </c>
      <c r="I54" s="48">
        <v>0</v>
      </c>
      <c r="J54" s="366">
        <v>0</v>
      </c>
      <c r="K54" s="353">
        <v>0</v>
      </c>
      <c r="L54" s="366">
        <v>427.92000000000007</v>
      </c>
      <c r="M54">
        <v>0</v>
      </c>
      <c r="N54" s="363"/>
      <c r="O54" s="789">
        <v>0</v>
      </c>
      <c r="P54" s="134">
        <v>-3.4700000000000002E-2</v>
      </c>
      <c r="Q54" s="48"/>
      <c r="R54" s="48"/>
      <c r="S54" s="48"/>
      <c r="T54" s="48"/>
    </row>
    <row r="55" spans="1:21" ht="21.95" customHeight="1" x14ac:dyDescent="0.25">
      <c r="A55" s="50"/>
      <c r="B55" s="50"/>
      <c r="C55" s="50"/>
      <c r="E55" s="22" t="s">
        <v>170</v>
      </c>
      <c r="F55" s="2">
        <v>94.68</v>
      </c>
      <c r="G55" s="2">
        <v>94.68</v>
      </c>
      <c r="H55" s="329">
        <v>0</v>
      </c>
      <c r="I55" s="48">
        <v>0</v>
      </c>
      <c r="J55" s="366">
        <v>0</v>
      </c>
      <c r="K55" s="353">
        <v>0</v>
      </c>
      <c r="L55" s="366">
        <v>1368.9000000000015</v>
      </c>
      <c r="M55">
        <v>0</v>
      </c>
      <c r="N55" s="363"/>
      <c r="O55" s="789">
        <v>1.14E-2</v>
      </c>
      <c r="P55" s="134">
        <v>-4.3200000000000002E-2</v>
      </c>
      <c r="S55" s="48"/>
    </row>
    <row r="56" spans="1:21" ht="21.95" customHeight="1" x14ac:dyDescent="0.25">
      <c r="A56" s="50"/>
      <c r="B56" s="50"/>
      <c r="C56" s="51"/>
      <c r="E56" s="22" t="s">
        <v>8</v>
      </c>
      <c r="F56" s="2">
        <v>77.17</v>
      </c>
      <c r="G56" s="2">
        <v>77.17</v>
      </c>
      <c r="H56" s="329">
        <v>0</v>
      </c>
      <c r="I56" s="48">
        <v>0</v>
      </c>
      <c r="J56" s="366">
        <v>0</v>
      </c>
      <c r="K56" s="353">
        <v>0</v>
      </c>
      <c r="L56" s="366">
        <v>121.94999999999982</v>
      </c>
      <c r="M56">
        <v>0</v>
      </c>
      <c r="N56" s="363"/>
      <c r="O56" s="789">
        <v>1.67E-2</v>
      </c>
      <c r="P56" s="134">
        <v>-1.6400000000000001E-2</v>
      </c>
      <c r="Q56" s="437"/>
      <c r="R56" s="48"/>
      <c r="S56" s="48"/>
    </row>
    <row r="57" spans="1:21" ht="21.95" customHeight="1" x14ac:dyDescent="0.25">
      <c r="A57" s="51"/>
      <c r="B57" s="51"/>
      <c r="C57" s="51"/>
      <c r="E57" s="22" t="s">
        <v>10</v>
      </c>
      <c r="F57" s="2">
        <v>48.46</v>
      </c>
      <c r="G57" s="2">
        <v>48.46</v>
      </c>
      <c r="H57" s="49">
        <v>0</v>
      </c>
      <c r="I57" s="48">
        <v>0</v>
      </c>
      <c r="J57" s="366">
        <v>0</v>
      </c>
      <c r="K57" s="353">
        <v>0</v>
      </c>
      <c r="L57" s="48">
        <v>1128.3800000000047</v>
      </c>
      <c r="M57">
        <v>0</v>
      </c>
      <c r="N57" s="2"/>
      <c r="O57" s="789">
        <v>1.2500000000000001E-2</v>
      </c>
      <c r="P57" s="134">
        <v>-1.2800000000000001E-2</v>
      </c>
      <c r="R57" s="48"/>
      <c r="S57" s="48"/>
    </row>
    <row r="58" spans="1:21" ht="21.95" customHeight="1" x14ac:dyDescent="0.25">
      <c r="A58" s="51"/>
      <c r="B58" s="51"/>
      <c r="C58" s="51"/>
      <c r="E58" s="22" t="s">
        <v>224</v>
      </c>
      <c r="F58" s="2">
        <v>38.200000000000003</v>
      </c>
      <c r="G58" s="2">
        <v>38.200000000000003</v>
      </c>
      <c r="H58" s="329">
        <v>0</v>
      </c>
      <c r="I58" s="48">
        <v>0</v>
      </c>
      <c r="J58" s="366">
        <v>0</v>
      </c>
      <c r="K58" s="353">
        <v>0</v>
      </c>
      <c r="L58" s="366">
        <v>4376.9599999999991</v>
      </c>
      <c r="M58">
        <v>0</v>
      </c>
      <c r="N58" s="363"/>
      <c r="O58" s="789">
        <v>4.0899999999999999E-2</v>
      </c>
      <c r="P58" s="134">
        <v>-4.2799999999999998E-2</v>
      </c>
      <c r="R58" s="48"/>
      <c r="S58" s="48"/>
    </row>
    <row r="59" spans="1:21" ht="21.95" customHeight="1" x14ac:dyDescent="0.25">
      <c r="A59" s="50"/>
      <c r="B59" s="51"/>
      <c r="C59" s="51"/>
      <c r="E59" s="22" t="s">
        <v>351</v>
      </c>
      <c r="F59" s="2">
        <v>70.77</v>
      </c>
      <c r="G59" s="2">
        <v>70.77</v>
      </c>
      <c r="H59" s="49">
        <v>0</v>
      </c>
      <c r="I59" s="48">
        <v>0</v>
      </c>
      <c r="J59" s="366">
        <v>0</v>
      </c>
      <c r="K59" s="353">
        <v>0</v>
      </c>
      <c r="L59" s="366">
        <v>2060.4300000000003</v>
      </c>
      <c r="M59">
        <v>0</v>
      </c>
      <c r="N59" s="363"/>
      <c r="O59" s="789">
        <v>4.3499999999999997E-2</v>
      </c>
      <c r="P59" s="134">
        <v>-2.9899999999999999E-2</v>
      </c>
      <c r="R59" s="48"/>
      <c r="S59" s="48"/>
    </row>
    <row r="60" spans="1:21" ht="21.95" customHeight="1" x14ac:dyDescent="0.25">
      <c r="A60" s="50"/>
      <c r="B60" s="50"/>
      <c r="C60" s="51"/>
      <c r="E60" s="22" t="s">
        <v>24</v>
      </c>
      <c r="F60" s="2">
        <v>64.05</v>
      </c>
      <c r="G60" s="2">
        <v>64.05</v>
      </c>
      <c r="H60" s="49">
        <v>0</v>
      </c>
      <c r="I60" s="48">
        <v>0</v>
      </c>
      <c r="J60" s="366">
        <v>0</v>
      </c>
      <c r="K60" s="353">
        <v>0</v>
      </c>
      <c r="L60" s="366">
        <v>937.36999999999534</v>
      </c>
      <c r="M60">
        <v>0</v>
      </c>
      <c r="N60" s="2"/>
      <c r="O60" s="789">
        <v>0</v>
      </c>
      <c r="P60" s="134">
        <v>-1.8700000000000001E-2</v>
      </c>
      <c r="R60" s="48"/>
      <c r="S60" s="48"/>
      <c r="T60" s="48"/>
    </row>
    <row r="61" spans="1:21" ht="21.95" customHeight="1" x14ac:dyDescent="0.25">
      <c r="A61" s="51"/>
      <c r="B61" s="51"/>
      <c r="C61" s="51"/>
      <c r="E61" s="22" t="s">
        <v>45</v>
      </c>
      <c r="F61" s="2">
        <v>95.02</v>
      </c>
      <c r="G61" s="2">
        <v>95.02</v>
      </c>
      <c r="H61" s="329">
        <v>0</v>
      </c>
      <c r="I61" s="48">
        <v>0</v>
      </c>
      <c r="J61" s="366">
        <v>0</v>
      </c>
      <c r="K61" s="353">
        <v>0</v>
      </c>
      <c r="L61" s="366">
        <v>523.61999999999898</v>
      </c>
      <c r="M61">
        <v>0</v>
      </c>
      <c r="N61" s="363"/>
      <c r="O61" s="789">
        <v>1.67E-2</v>
      </c>
      <c r="P61" s="134">
        <v>-2.98E-2</v>
      </c>
      <c r="R61" s="48"/>
      <c r="S61" s="48"/>
      <c r="T61" s="48"/>
    </row>
    <row r="62" spans="1:21" ht="21.95" customHeight="1" x14ac:dyDescent="0.25">
      <c r="A62" s="50"/>
      <c r="B62" s="50"/>
      <c r="C62" s="50"/>
      <c r="E62" s="22" t="s">
        <v>47</v>
      </c>
      <c r="F62" s="2">
        <v>138.61000000000001</v>
      </c>
      <c r="G62" s="2">
        <v>138.61000000000001</v>
      </c>
      <c r="H62" s="329">
        <v>0</v>
      </c>
      <c r="I62" s="48">
        <v>0</v>
      </c>
      <c r="J62" s="366">
        <v>0</v>
      </c>
      <c r="K62" s="353">
        <v>0</v>
      </c>
      <c r="L62" s="366">
        <v>-168.6200000000008</v>
      </c>
      <c r="M62">
        <v>0</v>
      </c>
      <c r="N62" s="363"/>
      <c r="O62" s="789">
        <v>2.18E-2</v>
      </c>
      <c r="P62" s="134">
        <v>-4.4299999999999999E-2</v>
      </c>
      <c r="Q62" s="48"/>
      <c r="S62" s="48"/>
    </row>
    <row r="63" spans="1:21" ht="21.95" customHeight="1" x14ac:dyDescent="0.25">
      <c r="A63" s="50"/>
      <c r="B63" s="50"/>
      <c r="C63" s="51"/>
      <c r="E63" s="22" t="s">
        <v>33</v>
      </c>
      <c r="F63" s="2">
        <v>228.1</v>
      </c>
      <c r="G63" s="2">
        <v>228.1</v>
      </c>
      <c r="H63" s="329">
        <v>0</v>
      </c>
      <c r="I63" s="48">
        <v>0</v>
      </c>
      <c r="J63" s="366">
        <v>0</v>
      </c>
      <c r="K63" s="353">
        <v>0</v>
      </c>
      <c r="L63" s="366">
        <v>780.73999999999796</v>
      </c>
      <c r="M63">
        <v>0</v>
      </c>
      <c r="N63" s="2"/>
      <c r="O63" s="789">
        <v>1.8599999999999998E-2</v>
      </c>
      <c r="P63" s="134">
        <v>-3.1300000000000001E-2</v>
      </c>
      <c r="Q63" s="148"/>
      <c r="R63" s="48"/>
      <c r="S63" s="48"/>
      <c r="T63" s="48"/>
    </row>
    <row r="64" spans="1:21" ht="21.95" customHeight="1" x14ac:dyDescent="0.25">
      <c r="A64" s="50"/>
      <c r="B64" s="50"/>
      <c r="C64" s="51"/>
      <c r="E64" s="22" t="s">
        <v>13</v>
      </c>
      <c r="F64" s="2">
        <v>63.4</v>
      </c>
      <c r="G64" s="2">
        <v>63.4</v>
      </c>
      <c r="H64" s="329">
        <v>0</v>
      </c>
      <c r="I64" s="48">
        <v>0</v>
      </c>
      <c r="J64" s="366">
        <v>0</v>
      </c>
      <c r="K64" s="353">
        <v>0</v>
      </c>
      <c r="L64" s="366">
        <v>1461.5600000000013</v>
      </c>
      <c r="M64">
        <v>0</v>
      </c>
      <c r="N64" s="363"/>
      <c r="O64" s="789">
        <v>0</v>
      </c>
      <c r="P64" s="134">
        <v>-3.4700000000000002E-2</v>
      </c>
      <c r="R64" s="48"/>
      <c r="S64" s="48"/>
      <c r="T64" s="351"/>
      <c r="U64" s="351"/>
    </row>
    <row r="65" spans="1:22" ht="21.95" customHeight="1" x14ac:dyDescent="0.25">
      <c r="A65" s="51"/>
      <c r="B65" s="51"/>
      <c r="C65" s="51"/>
      <c r="E65" s="22" t="s">
        <v>52</v>
      </c>
      <c r="F65" s="2">
        <v>64.34</v>
      </c>
      <c r="G65" s="2">
        <v>64.34</v>
      </c>
      <c r="H65" s="329">
        <v>0</v>
      </c>
      <c r="I65" s="48">
        <v>0</v>
      </c>
      <c r="J65" s="366">
        <v>0</v>
      </c>
      <c r="K65" s="353">
        <v>0</v>
      </c>
      <c r="L65" s="366">
        <v>1056.739999999998</v>
      </c>
      <c r="M65">
        <v>0</v>
      </c>
      <c r="N65" s="2"/>
      <c r="O65" s="789">
        <v>2.1999999999999999E-2</v>
      </c>
      <c r="P65" s="134">
        <v>-4.6199999999999998E-2</v>
      </c>
      <c r="S65" s="48"/>
      <c r="T65" s="48"/>
    </row>
    <row r="66" spans="1:22" ht="21.95" customHeight="1" x14ac:dyDescent="0.25">
      <c r="A66" s="51"/>
      <c r="B66" s="51"/>
      <c r="C66" s="51"/>
      <c r="E66" s="22" t="s">
        <v>32</v>
      </c>
      <c r="F66" s="2">
        <v>52.52</v>
      </c>
      <c r="G66" s="2">
        <v>52.52</v>
      </c>
      <c r="H66" s="329">
        <v>0</v>
      </c>
      <c r="I66" s="48">
        <v>0</v>
      </c>
      <c r="J66" s="366">
        <v>0</v>
      </c>
      <c r="K66" s="353">
        <v>0</v>
      </c>
      <c r="L66" s="366">
        <v>1198.4699999999971</v>
      </c>
      <c r="M66">
        <v>0</v>
      </c>
      <c r="N66" s="363"/>
      <c r="O66" s="789">
        <v>1.7600000000000001E-2</v>
      </c>
      <c r="P66" s="134">
        <v>-3.8399999999999997E-2</v>
      </c>
      <c r="Q66" s="48"/>
      <c r="R66" s="48"/>
      <c r="S66" s="48"/>
      <c r="T66" s="48"/>
      <c r="V66" s="48"/>
    </row>
    <row r="67" spans="1:22" ht="21.95" customHeight="1" x14ac:dyDescent="0.25">
      <c r="A67" s="50"/>
      <c r="B67" s="50"/>
      <c r="C67" s="51"/>
      <c r="E67" s="22" t="s">
        <v>63</v>
      </c>
      <c r="F67" s="2">
        <v>104.7</v>
      </c>
      <c r="G67" s="2">
        <v>104.7</v>
      </c>
      <c r="H67" s="329">
        <v>0</v>
      </c>
      <c r="I67" s="48">
        <v>0</v>
      </c>
      <c r="J67" s="366">
        <v>0</v>
      </c>
      <c r="K67" s="353">
        <v>0</v>
      </c>
      <c r="L67" s="366">
        <v>257.30999999999949</v>
      </c>
      <c r="M67">
        <v>0</v>
      </c>
      <c r="N67" s="363"/>
      <c r="O67" s="789">
        <v>1.38E-2</v>
      </c>
      <c r="P67" s="134">
        <v>-3.6799999999999999E-2</v>
      </c>
      <c r="T67" s="48"/>
    </row>
    <row r="68" spans="1:22" ht="21.95" customHeight="1" x14ac:dyDescent="0.25">
      <c r="A68" s="51"/>
      <c r="B68" s="51"/>
      <c r="C68" s="51"/>
      <c r="E68" s="22" t="s">
        <v>9</v>
      </c>
      <c r="F68" s="2">
        <v>7.66</v>
      </c>
      <c r="G68" s="2">
        <v>7.66</v>
      </c>
      <c r="H68" s="329">
        <v>0</v>
      </c>
      <c r="I68" s="48">
        <v>0</v>
      </c>
      <c r="J68" s="366">
        <v>-8332.1133333333346</v>
      </c>
      <c r="K68" s="353">
        <v>0</v>
      </c>
      <c r="L68" s="366">
        <v>-7897.1833333333343</v>
      </c>
      <c r="M68">
        <v>0</v>
      </c>
      <c r="N68" s="2"/>
      <c r="O68" s="789">
        <v>0.04</v>
      </c>
      <c r="P68" s="134">
        <v>-2.3E-2</v>
      </c>
      <c r="R68" s="48"/>
      <c r="S68" s="48"/>
      <c r="T68" s="48"/>
      <c r="V68" s="48"/>
    </row>
    <row r="69" spans="1:22" ht="21.95" customHeight="1" x14ac:dyDescent="0.25">
      <c r="A69" s="50"/>
      <c r="B69" s="50"/>
      <c r="C69" s="51"/>
      <c r="E69" s="22" t="s">
        <v>53</v>
      </c>
      <c r="F69" s="2">
        <v>78.36</v>
      </c>
      <c r="G69" s="2">
        <v>78.36</v>
      </c>
      <c r="H69" s="49">
        <v>0</v>
      </c>
      <c r="I69" s="48">
        <v>0</v>
      </c>
      <c r="J69" s="366">
        <v>0</v>
      </c>
      <c r="K69" s="353">
        <v>0</v>
      </c>
      <c r="L69" s="48">
        <v>33.940000000000055</v>
      </c>
      <c r="M69">
        <v>0</v>
      </c>
      <c r="N69" s="363"/>
      <c r="O69" s="789">
        <v>7.4000000000000003E-3</v>
      </c>
      <c r="P69" s="134">
        <v>-4.1700000000000001E-2</v>
      </c>
      <c r="R69" s="48"/>
    </row>
    <row r="70" spans="1:22" ht="21.95" customHeight="1" x14ac:dyDescent="0.25">
      <c r="A70" s="50"/>
      <c r="B70" s="50"/>
      <c r="C70" s="50"/>
      <c r="E70" s="22" t="s">
        <v>56</v>
      </c>
      <c r="F70" s="2">
        <v>39.54</v>
      </c>
      <c r="G70" s="2">
        <v>39.54</v>
      </c>
      <c r="H70" s="49">
        <v>0</v>
      </c>
      <c r="I70" s="48">
        <v>0</v>
      </c>
      <c r="J70" s="366">
        <v>0</v>
      </c>
      <c r="K70" s="353">
        <v>0</v>
      </c>
      <c r="L70" s="48">
        <v>36.819999999999709</v>
      </c>
      <c r="M70">
        <v>0</v>
      </c>
      <c r="N70" s="363"/>
      <c r="O70" s="789">
        <v>4.2999999999999997E-2</v>
      </c>
      <c r="P70" s="134">
        <v>-3.56E-2</v>
      </c>
    </row>
    <row r="71" spans="1:22" ht="21.95" customHeight="1" x14ac:dyDescent="0.25">
      <c r="A71" s="50"/>
      <c r="B71" s="50"/>
      <c r="C71" s="51"/>
      <c r="E71" s="22" t="s">
        <v>0</v>
      </c>
      <c r="F71" s="2">
        <v>208.31</v>
      </c>
      <c r="G71" s="2">
        <v>208.31</v>
      </c>
      <c r="H71" s="329">
        <v>0</v>
      </c>
      <c r="I71" s="48">
        <v>0</v>
      </c>
      <c r="J71" s="366">
        <v>0</v>
      </c>
      <c r="K71" s="353">
        <v>0</v>
      </c>
      <c r="L71" s="366">
        <v>465.57999999999993</v>
      </c>
      <c r="M71">
        <v>0</v>
      </c>
      <c r="N71" s="363"/>
      <c r="O71" s="789">
        <v>3.8999999999999998E-3</v>
      </c>
      <c r="P71" s="134">
        <v>-4.3099999999999999E-2</v>
      </c>
    </row>
    <row r="72" spans="1:22" ht="21.95" customHeight="1" x14ac:dyDescent="0.25">
      <c r="A72" s="50"/>
      <c r="B72" s="51"/>
      <c r="C72" s="51"/>
      <c r="E72" s="22" t="s">
        <v>39</v>
      </c>
      <c r="F72" s="2">
        <v>48.35</v>
      </c>
      <c r="G72" s="2">
        <v>48.35</v>
      </c>
      <c r="H72" s="49">
        <v>0</v>
      </c>
      <c r="I72" s="48">
        <v>0</v>
      </c>
      <c r="J72" s="366">
        <v>0</v>
      </c>
      <c r="K72" s="353">
        <v>0</v>
      </c>
      <c r="L72" s="366">
        <v>529.88000000000284</v>
      </c>
      <c r="M72">
        <v>0</v>
      </c>
      <c r="N72" s="2"/>
      <c r="O72" s="789">
        <v>2.3E-2</v>
      </c>
      <c r="P72" s="134">
        <v>-3.3000000000000002E-2</v>
      </c>
    </row>
    <row r="73" spans="1:22" ht="21.95" customHeight="1" x14ac:dyDescent="0.25">
      <c r="A73" s="50"/>
      <c r="B73" s="50"/>
      <c r="C73" s="50"/>
      <c r="E73" s="22" t="s">
        <v>54</v>
      </c>
      <c r="F73" s="2">
        <v>127.24</v>
      </c>
      <c r="G73" s="2">
        <v>127.24</v>
      </c>
      <c r="H73" s="329">
        <v>0</v>
      </c>
      <c r="I73" s="48">
        <v>0</v>
      </c>
      <c r="J73" s="366">
        <v>0</v>
      </c>
      <c r="K73" s="353">
        <v>0</v>
      </c>
      <c r="L73" s="366">
        <v>114.84999999999991</v>
      </c>
      <c r="M73">
        <v>0</v>
      </c>
      <c r="N73" s="363"/>
      <c r="O73" s="789">
        <v>2.35E-2</v>
      </c>
      <c r="P73" s="134">
        <v>-5.4800000000000001E-2</v>
      </c>
    </row>
    <row r="74" spans="1:22" ht="21.95" customHeight="1" x14ac:dyDescent="0.25">
      <c r="A74" s="50"/>
      <c r="B74" s="50"/>
      <c r="C74" s="51"/>
      <c r="E74" s="22" t="s">
        <v>51</v>
      </c>
      <c r="F74" s="2">
        <v>220.02</v>
      </c>
      <c r="G74" s="2">
        <v>220.02</v>
      </c>
      <c r="H74" s="49">
        <v>0</v>
      </c>
      <c r="I74" s="48">
        <v>0</v>
      </c>
      <c r="J74" s="366">
        <v>0</v>
      </c>
      <c r="K74" s="353">
        <v>0</v>
      </c>
      <c r="L74" s="366">
        <v>176.70000000000073</v>
      </c>
      <c r="M74">
        <v>0</v>
      </c>
      <c r="N74" s="2"/>
      <c r="O74" s="789">
        <v>1.52E-2</v>
      </c>
      <c r="P74" s="134">
        <v>-5.11E-2</v>
      </c>
    </row>
    <row r="75" spans="1:22" ht="21.95" customHeight="1" x14ac:dyDescent="0.25">
      <c r="A75" s="50"/>
      <c r="B75" s="51"/>
      <c r="C75" s="51"/>
      <c r="F75" s="2"/>
      <c r="G75" s="2"/>
    </row>
    <row r="76" spans="1:22" ht="21.95" customHeight="1" x14ac:dyDescent="0.25">
      <c r="F76" s="2"/>
      <c r="G76" s="2"/>
    </row>
    <row r="77" spans="1:22" ht="21.95" customHeight="1" x14ac:dyDescent="0.25">
      <c r="F77" s="2"/>
      <c r="G77" s="2"/>
    </row>
    <row r="78" spans="1:22" ht="21.95" customHeight="1" x14ac:dyDescent="0.25">
      <c r="F78" s="2"/>
      <c r="G78" s="2"/>
    </row>
    <row r="79" spans="1:22" ht="21.95" customHeight="1" x14ac:dyDescent="0.25">
      <c r="F79" s="2"/>
      <c r="G79" s="2"/>
    </row>
    <row r="80" spans="1:22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5:O1048576">
    <cfRule type="expression" dxfId="2163" priority="321">
      <formula>$O1=0</formula>
    </cfRule>
    <cfRule type="dataBar" priority="6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162" priority="277">
      <formula>$H2=0</formula>
    </cfRule>
  </conditionalFormatting>
  <conditionalFormatting sqref="J2:K4 J70:K71 J6:K6 J21:K58 J12:K19 J75:K200">
    <cfRule type="expression" dxfId="2161" priority="278">
      <formula>$J2=0</formula>
    </cfRule>
  </conditionalFormatting>
  <conditionalFormatting sqref="L70:L71 L1:L58 L75:L1048576">
    <cfRule type="expression" dxfId="2160" priority="276">
      <formula>$L2=0</formula>
    </cfRule>
  </conditionalFormatting>
  <conditionalFormatting sqref="M1">
    <cfRule type="expression" dxfId="2159" priority="272">
      <formula>$L2=0</formula>
    </cfRule>
  </conditionalFormatting>
  <conditionalFormatting sqref="J2:K4 J6:K6 J21:K58 J12:K19">
    <cfRule type="expression" dxfId="2158" priority="320">
      <formula>$J2&gt;0</formula>
    </cfRule>
  </conditionalFormatting>
  <conditionalFormatting sqref="L2:L58">
    <cfRule type="expression" dxfId="2157" priority="274">
      <formula>$L2&lt;0</formula>
    </cfRule>
    <cfRule type="expression" dxfId="2156" priority="275">
      <formula>$L2&gt;0</formula>
    </cfRule>
  </conditionalFormatting>
  <conditionalFormatting sqref="J2:K4 J70:K71 J6:K6 J21:K58 J12:K19 J75:K458">
    <cfRule type="expression" dxfId="2155" priority="319">
      <formula>$J2&lt;0</formula>
    </cfRule>
  </conditionalFormatting>
  <conditionalFormatting sqref="E59 H59:I59">
    <cfRule type="expression" dxfId="2154" priority="248">
      <formula>$H59=0</formula>
    </cfRule>
  </conditionalFormatting>
  <conditionalFormatting sqref="J59:K59">
    <cfRule type="expression" dxfId="2153" priority="249">
      <formula>$J59=0</formula>
    </cfRule>
  </conditionalFormatting>
  <conditionalFormatting sqref="L59">
    <cfRule type="expression" dxfId="2152" priority="247">
      <formula>$L60=0</formula>
    </cfRule>
  </conditionalFormatting>
  <conditionalFormatting sqref="J59:K59">
    <cfRule type="expression" dxfId="2151" priority="251">
      <formula>$J59&gt;0</formula>
    </cfRule>
  </conditionalFormatting>
  <conditionalFormatting sqref="L59">
    <cfRule type="expression" dxfId="2150" priority="245">
      <formula>$L59&lt;0</formula>
    </cfRule>
    <cfRule type="expression" dxfId="2149" priority="246">
      <formula>$L59&gt;0</formula>
    </cfRule>
  </conditionalFormatting>
  <conditionalFormatting sqref="J59:K59">
    <cfRule type="expression" dxfId="2148" priority="250">
      <formula>$J59&lt;0</formula>
    </cfRule>
  </conditionalFormatting>
  <conditionalFormatting sqref="E5 H5:I5">
    <cfRule type="expression" dxfId="2147" priority="226">
      <formula>$H5=0</formula>
    </cfRule>
  </conditionalFormatting>
  <conditionalFormatting sqref="J5:K5">
    <cfRule type="expression" dxfId="2146" priority="227">
      <formula>$J5=0</formula>
    </cfRule>
  </conditionalFormatting>
  <conditionalFormatting sqref="J5:K5">
    <cfRule type="expression" dxfId="2145" priority="229">
      <formula>$J5&gt;0</formula>
    </cfRule>
  </conditionalFormatting>
  <conditionalFormatting sqref="J5:K5">
    <cfRule type="expression" dxfId="2144" priority="228">
      <formula>$J5&lt;0</formula>
    </cfRule>
  </conditionalFormatting>
  <conditionalFormatting sqref="E7 H7:I7">
    <cfRule type="expression" dxfId="2143" priority="215">
      <formula>$H7=0</formula>
    </cfRule>
  </conditionalFormatting>
  <conditionalFormatting sqref="J7:K7">
    <cfRule type="expression" dxfId="2142" priority="216">
      <formula>$J7=0</formula>
    </cfRule>
  </conditionalFormatting>
  <conditionalFormatting sqref="J7:K7">
    <cfRule type="expression" dxfId="2141" priority="218">
      <formula>$J7&gt;0</formula>
    </cfRule>
  </conditionalFormatting>
  <conditionalFormatting sqref="J7:K7">
    <cfRule type="expression" dxfId="2140" priority="217">
      <formula>$J7&lt;0</formula>
    </cfRule>
  </conditionalFormatting>
  <conditionalFormatting sqref="E60 H60:I60">
    <cfRule type="expression" dxfId="2139" priority="204">
      <formula>$H60=0</formula>
    </cfRule>
  </conditionalFormatting>
  <conditionalFormatting sqref="J60:K60">
    <cfRule type="expression" dxfId="2138" priority="205">
      <formula>$J60=0</formula>
    </cfRule>
  </conditionalFormatting>
  <conditionalFormatting sqref="L60">
    <cfRule type="expression" dxfId="2137" priority="203">
      <formula>$L61=0</formula>
    </cfRule>
  </conditionalFormatting>
  <conditionalFormatting sqref="J60:K60">
    <cfRule type="expression" dxfId="2136" priority="207">
      <formula>$J60&gt;0</formula>
    </cfRule>
  </conditionalFormatting>
  <conditionalFormatting sqref="L60">
    <cfRule type="expression" dxfId="2135" priority="201">
      <formula>$L60&lt;0</formula>
    </cfRule>
    <cfRule type="expression" dxfId="2134" priority="202">
      <formula>$L60&gt;0</formula>
    </cfRule>
  </conditionalFormatting>
  <conditionalFormatting sqref="J60:K60">
    <cfRule type="expression" dxfId="2133" priority="206">
      <formula>$J60&lt;0</formula>
    </cfRule>
  </conditionalFormatting>
  <conditionalFormatting sqref="E62 H62:I62">
    <cfRule type="expression" dxfId="2132" priority="193">
      <formula>$H62=0</formula>
    </cfRule>
  </conditionalFormatting>
  <conditionalFormatting sqref="J62:K62">
    <cfRule type="expression" dxfId="2131" priority="194">
      <formula>$J62=0</formula>
    </cfRule>
  </conditionalFormatting>
  <conditionalFormatting sqref="L62">
    <cfRule type="expression" dxfId="2130" priority="192">
      <formula>$L63=0</formula>
    </cfRule>
  </conditionalFormatting>
  <conditionalFormatting sqref="J62:K62">
    <cfRule type="expression" dxfId="2129" priority="196">
      <formula>$J62&gt;0</formula>
    </cfRule>
  </conditionalFormatting>
  <conditionalFormatting sqref="L62">
    <cfRule type="expression" dxfId="2128" priority="190">
      <formula>$L62&lt;0</formula>
    </cfRule>
    <cfRule type="expression" dxfId="2127" priority="191">
      <formula>$L62&gt;0</formula>
    </cfRule>
  </conditionalFormatting>
  <conditionalFormatting sqref="J62:K62">
    <cfRule type="expression" dxfId="2126" priority="195">
      <formula>$J62&lt;0</formula>
    </cfRule>
  </conditionalFormatting>
  <conditionalFormatting sqref="E61 H61:I61">
    <cfRule type="expression" dxfId="2125" priority="182">
      <formula>$H61=0</formula>
    </cfRule>
  </conditionalFormatting>
  <conditionalFormatting sqref="J61:K61">
    <cfRule type="expression" dxfId="2124" priority="183">
      <formula>$J61=0</formula>
    </cfRule>
  </conditionalFormatting>
  <conditionalFormatting sqref="L61">
    <cfRule type="expression" dxfId="2123" priority="181">
      <formula>$L62=0</formula>
    </cfRule>
  </conditionalFormatting>
  <conditionalFormatting sqref="J61:K61">
    <cfRule type="expression" dxfId="2122" priority="185">
      <formula>$J61&gt;0</formula>
    </cfRule>
  </conditionalFormatting>
  <conditionalFormatting sqref="L61">
    <cfRule type="expression" dxfId="2121" priority="179">
      <formula>$L61&lt;0</formula>
    </cfRule>
    <cfRule type="expression" dxfId="2120" priority="180">
      <formula>$L61&gt;0</formula>
    </cfRule>
  </conditionalFormatting>
  <conditionalFormatting sqref="J61:K61">
    <cfRule type="expression" dxfId="2119" priority="184">
      <formula>$J61&lt;0</formula>
    </cfRule>
  </conditionalFormatting>
  <conditionalFormatting sqref="E8 H8:I8">
    <cfRule type="expression" dxfId="2118" priority="167">
      <formula>$H8=0</formula>
    </cfRule>
  </conditionalFormatting>
  <conditionalFormatting sqref="J8:K8">
    <cfRule type="expression" dxfId="2117" priority="168">
      <formula>$J8=0</formula>
    </cfRule>
  </conditionalFormatting>
  <conditionalFormatting sqref="J8:K8">
    <cfRule type="expression" dxfId="2116" priority="170">
      <formula>$J8&gt;0</formula>
    </cfRule>
  </conditionalFormatting>
  <conditionalFormatting sqref="J8:K8">
    <cfRule type="expression" dxfId="2115" priority="169">
      <formula>$J8&lt;0</formula>
    </cfRule>
  </conditionalFormatting>
  <conditionalFormatting sqref="E63 H63:I63">
    <cfRule type="expression" dxfId="2114" priority="157">
      <formula>$H63=0</formula>
    </cfRule>
  </conditionalFormatting>
  <conditionalFormatting sqref="J63:K63">
    <cfRule type="expression" dxfId="2113" priority="158">
      <formula>$J63=0</formula>
    </cfRule>
  </conditionalFormatting>
  <conditionalFormatting sqref="L63">
    <cfRule type="expression" dxfId="2112" priority="156">
      <formula>$L64=0</formula>
    </cfRule>
  </conditionalFormatting>
  <conditionalFormatting sqref="J63:K63">
    <cfRule type="expression" dxfId="2111" priority="160">
      <formula>$J63&gt;0</formula>
    </cfRule>
  </conditionalFormatting>
  <conditionalFormatting sqref="L63">
    <cfRule type="expression" dxfId="2110" priority="154">
      <formula>$L63&lt;0</formula>
    </cfRule>
    <cfRule type="expression" dxfId="2109" priority="155">
      <formula>$L63&gt;0</formula>
    </cfRule>
  </conditionalFormatting>
  <conditionalFormatting sqref="J63:K63">
    <cfRule type="expression" dxfId="2108" priority="159">
      <formula>$J63&lt;0</formula>
    </cfRule>
  </conditionalFormatting>
  <conditionalFormatting sqref="E20 H20:I20">
    <cfRule type="expression" dxfId="2107" priority="147">
      <formula>$H20=0</formula>
    </cfRule>
  </conditionalFormatting>
  <conditionalFormatting sqref="J20:K20">
    <cfRule type="expression" dxfId="2106" priority="148">
      <formula>$J20=0</formula>
    </cfRule>
  </conditionalFormatting>
  <conditionalFormatting sqref="J20:K20">
    <cfRule type="expression" dxfId="2105" priority="150">
      <formula>$J20&gt;0</formula>
    </cfRule>
  </conditionalFormatting>
  <conditionalFormatting sqref="J20:K20">
    <cfRule type="expression" dxfId="2104" priority="149">
      <formula>$J20&lt;0</formula>
    </cfRule>
  </conditionalFormatting>
  <conditionalFormatting sqref="E64 H64:I64">
    <cfRule type="expression" dxfId="2103" priority="138">
      <formula>$H64=0</formula>
    </cfRule>
  </conditionalFormatting>
  <conditionalFormatting sqref="J64:K64">
    <cfRule type="expression" dxfId="2102" priority="139">
      <formula>$J64=0</formula>
    </cfRule>
  </conditionalFormatting>
  <conditionalFormatting sqref="L64">
    <cfRule type="expression" dxfId="2101" priority="137">
      <formula>$L65=0</formula>
    </cfRule>
  </conditionalFormatting>
  <conditionalFormatting sqref="J64:K64">
    <cfRule type="expression" dxfId="2100" priority="141">
      <formula>$J64&gt;0</formula>
    </cfRule>
  </conditionalFormatting>
  <conditionalFormatting sqref="L64">
    <cfRule type="expression" dxfId="2099" priority="135">
      <formula>$L64&lt;0</formula>
    </cfRule>
    <cfRule type="expression" dxfId="2098" priority="136">
      <formula>$L64&gt;0</formula>
    </cfRule>
  </conditionalFormatting>
  <conditionalFormatting sqref="J64:K64">
    <cfRule type="expression" dxfId="2097" priority="140">
      <formula>$J64&lt;0</formula>
    </cfRule>
  </conditionalFormatting>
  <conditionalFormatting sqref="E65 H65:I65">
    <cfRule type="expression" dxfId="2096" priority="131">
      <formula>$H65=0</formula>
    </cfRule>
  </conditionalFormatting>
  <conditionalFormatting sqref="J65:K65">
    <cfRule type="expression" dxfId="2095" priority="132">
      <formula>$J65=0</formula>
    </cfRule>
  </conditionalFormatting>
  <conditionalFormatting sqref="L65">
    <cfRule type="expression" dxfId="2094" priority="130">
      <formula>$L66=0</formula>
    </cfRule>
  </conditionalFormatting>
  <conditionalFormatting sqref="J65:K65">
    <cfRule type="expression" dxfId="2093" priority="134">
      <formula>$J65&gt;0</formula>
    </cfRule>
  </conditionalFormatting>
  <conditionalFormatting sqref="L65">
    <cfRule type="expression" dxfId="2092" priority="128">
      <formula>$L65&lt;0</formula>
    </cfRule>
    <cfRule type="expression" dxfId="2091" priority="129">
      <formula>$L65&gt;0</formula>
    </cfRule>
  </conditionalFormatting>
  <conditionalFormatting sqref="J65:K65">
    <cfRule type="expression" dxfId="2090" priority="133">
      <formula>$J65&lt;0</formula>
    </cfRule>
  </conditionalFormatting>
  <conditionalFormatting sqref="E11 H11:I11">
    <cfRule type="expression" dxfId="2089" priority="122">
      <formula>$H11=0</formula>
    </cfRule>
  </conditionalFormatting>
  <conditionalFormatting sqref="J11:K11">
    <cfRule type="expression" dxfId="2088" priority="123">
      <formula>$J11=0</formula>
    </cfRule>
  </conditionalFormatting>
  <conditionalFormatting sqref="J11:K11">
    <cfRule type="expression" dxfId="2087" priority="125">
      <formula>$J11&gt;0</formula>
    </cfRule>
  </conditionalFormatting>
  <conditionalFormatting sqref="J11:K11">
    <cfRule type="expression" dxfId="2086" priority="124">
      <formula>$J11&lt;0</formula>
    </cfRule>
  </conditionalFormatting>
  <conditionalFormatting sqref="E9 H9:I9">
    <cfRule type="expression" dxfId="2085" priority="115">
      <formula>$H9=0</formula>
    </cfRule>
  </conditionalFormatting>
  <conditionalFormatting sqref="J9:K9">
    <cfRule type="expression" dxfId="2084" priority="116">
      <formula>$J9=0</formula>
    </cfRule>
  </conditionalFormatting>
  <conditionalFormatting sqref="J9:K9">
    <cfRule type="expression" dxfId="2083" priority="118">
      <formula>$J9&gt;0</formula>
    </cfRule>
  </conditionalFormatting>
  <conditionalFormatting sqref="J9:K9">
    <cfRule type="expression" dxfId="2082" priority="117">
      <formula>$J9&lt;0</formula>
    </cfRule>
  </conditionalFormatting>
  <conditionalFormatting sqref="E66 H66:I66">
    <cfRule type="expression" dxfId="2081" priority="106">
      <formula>$H66=0</formula>
    </cfRule>
  </conditionalFormatting>
  <conditionalFormatting sqref="J66:K66">
    <cfRule type="expression" dxfId="2080" priority="107">
      <formula>$J66=0</formula>
    </cfRule>
  </conditionalFormatting>
  <conditionalFormatting sqref="L66">
    <cfRule type="expression" dxfId="2079" priority="105">
      <formula>$L67=0</formula>
    </cfRule>
  </conditionalFormatting>
  <conditionalFormatting sqref="J66:K66">
    <cfRule type="expression" dxfId="2078" priority="109">
      <formula>$J66&gt;0</formula>
    </cfRule>
  </conditionalFormatting>
  <conditionalFormatting sqref="L66">
    <cfRule type="expression" dxfId="2077" priority="103">
      <formula>$L66&lt;0</formula>
    </cfRule>
    <cfRule type="expression" dxfId="2076" priority="104">
      <formula>$L66&gt;0</formula>
    </cfRule>
  </conditionalFormatting>
  <conditionalFormatting sqref="J66:K66">
    <cfRule type="expression" dxfId="2075" priority="108">
      <formula>$J66&lt;0</formula>
    </cfRule>
  </conditionalFormatting>
  <conditionalFormatting sqref="O2:O6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074" priority="97">
      <formula>$H10=0</formula>
    </cfRule>
  </conditionalFormatting>
  <conditionalFormatting sqref="J10:K10">
    <cfRule type="expression" dxfId="2073" priority="98">
      <formula>$J10=0</formula>
    </cfRule>
  </conditionalFormatting>
  <conditionalFormatting sqref="J10:K10">
    <cfRule type="expression" dxfId="2072" priority="100">
      <formula>$J10&gt;0</formula>
    </cfRule>
  </conditionalFormatting>
  <conditionalFormatting sqref="J10:K10">
    <cfRule type="expression" dxfId="2071" priority="99">
      <formula>$J10&lt;0</formula>
    </cfRule>
  </conditionalFormatting>
  <conditionalFormatting sqref="E26:E28 E30 E45:E49 E36:E43">
    <cfRule type="expression" dxfId="2070" priority="93">
      <formula>$H26=0</formula>
    </cfRule>
  </conditionalFormatting>
  <conditionalFormatting sqref="E29">
    <cfRule type="expression" dxfId="2069" priority="92">
      <formula>$H29=0</formula>
    </cfRule>
  </conditionalFormatting>
  <conditionalFormatting sqref="E31">
    <cfRule type="expression" dxfId="2068" priority="91">
      <formula>$H31=0</formula>
    </cfRule>
  </conditionalFormatting>
  <conditionalFormatting sqref="E32">
    <cfRule type="expression" dxfId="2067" priority="90">
      <formula>$H32=0</formula>
    </cfRule>
  </conditionalFormatting>
  <conditionalFormatting sqref="E44">
    <cfRule type="expression" dxfId="2066" priority="89">
      <formula>$H44=0</formula>
    </cfRule>
  </conditionalFormatting>
  <conditionalFormatting sqref="E35">
    <cfRule type="expression" dxfId="2065" priority="88">
      <formula>$H35=0</formula>
    </cfRule>
  </conditionalFormatting>
  <conditionalFormatting sqref="E33">
    <cfRule type="expression" dxfId="2064" priority="87">
      <formula>$H33=0</formula>
    </cfRule>
  </conditionalFormatting>
  <conditionalFormatting sqref="E34">
    <cfRule type="expression" dxfId="2063" priority="86">
      <formula>$H34=0</formula>
    </cfRule>
  </conditionalFormatting>
  <conditionalFormatting sqref="E67 H67:I67">
    <cfRule type="expression" dxfId="2062" priority="82">
      <formula>$H67=0</formula>
    </cfRule>
  </conditionalFormatting>
  <conditionalFormatting sqref="J67:K67">
    <cfRule type="expression" dxfId="2061" priority="83">
      <formula>$J67=0</formula>
    </cfRule>
  </conditionalFormatting>
  <conditionalFormatting sqref="L67">
    <cfRule type="expression" dxfId="2060" priority="81">
      <formula>$L68=0</formula>
    </cfRule>
  </conditionalFormatting>
  <conditionalFormatting sqref="J67:K67">
    <cfRule type="expression" dxfId="2059" priority="85">
      <formula>$J67&gt;0</formula>
    </cfRule>
  </conditionalFormatting>
  <conditionalFormatting sqref="L67">
    <cfRule type="expression" dxfId="2058" priority="79">
      <formula>$L67&lt;0</formula>
    </cfRule>
    <cfRule type="expression" dxfId="2057" priority="80">
      <formula>$L67&gt;0</formula>
    </cfRule>
  </conditionalFormatting>
  <conditionalFormatting sqref="J67:K67">
    <cfRule type="expression" dxfId="2056" priority="84">
      <formula>$J67&lt;0</formula>
    </cfRule>
  </conditionalFormatting>
  <conditionalFormatting sqref="E69 H69:I69">
    <cfRule type="expression" dxfId="2055" priority="75">
      <formula>$H69=0</formula>
    </cfRule>
  </conditionalFormatting>
  <conditionalFormatting sqref="J69:K69">
    <cfRule type="expression" dxfId="2054" priority="76">
      <formula>$J69=0</formula>
    </cfRule>
  </conditionalFormatting>
  <conditionalFormatting sqref="L69">
    <cfRule type="expression" dxfId="2053" priority="74">
      <formula>$L70=0</formula>
    </cfRule>
  </conditionalFormatting>
  <conditionalFormatting sqref="J69:K69">
    <cfRule type="expression" dxfId="2052" priority="78">
      <formula>$J69&gt;0</formula>
    </cfRule>
  </conditionalFormatting>
  <conditionalFormatting sqref="L69">
    <cfRule type="expression" dxfId="2051" priority="72">
      <formula>$L69&lt;0</formula>
    </cfRule>
    <cfRule type="expression" dxfId="2050" priority="73">
      <formula>$L69&gt;0</formula>
    </cfRule>
  </conditionalFormatting>
  <conditionalFormatting sqref="J69:K69">
    <cfRule type="expression" dxfId="2049" priority="77">
      <formula>$J69&lt;0</formula>
    </cfRule>
  </conditionalFormatting>
  <conditionalFormatting sqref="E68 H68:I68">
    <cfRule type="expression" dxfId="2048" priority="68">
      <formula>$H68=0</formula>
    </cfRule>
  </conditionalFormatting>
  <conditionalFormatting sqref="J68:K68">
    <cfRule type="expression" dxfId="2047" priority="69">
      <formula>$J68=0</formula>
    </cfRule>
  </conditionalFormatting>
  <conditionalFormatting sqref="L68">
    <cfRule type="expression" dxfId="2046" priority="67">
      <formula>$L69=0</formula>
    </cfRule>
  </conditionalFormatting>
  <conditionalFormatting sqref="J68:K68">
    <cfRule type="expression" dxfId="2045" priority="71">
      <formula>$J68&gt;0</formula>
    </cfRule>
  </conditionalFormatting>
  <conditionalFormatting sqref="L68">
    <cfRule type="expression" dxfId="2044" priority="65">
      <formula>$L68&lt;0</formula>
    </cfRule>
    <cfRule type="expression" dxfId="2043" priority="66">
      <formula>$L68&gt;0</formula>
    </cfRule>
  </conditionalFormatting>
  <conditionalFormatting sqref="J68:K68">
    <cfRule type="expression" dxfId="2042" priority="70">
      <formula>$J68&lt;0</formula>
    </cfRule>
  </conditionalFormatting>
  <conditionalFormatting sqref="O67:O71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041" priority="60">
      <formula>$H69=0</formula>
    </cfRule>
  </conditionalFormatting>
  <conditionalFormatting sqref="J69:K69">
    <cfRule type="expression" dxfId="2040" priority="61">
      <formula>$J69=0</formula>
    </cfRule>
  </conditionalFormatting>
  <conditionalFormatting sqref="L69">
    <cfRule type="expression" dxfId="2039" priority="59">
      <formula>$L70=0</formula>
    </cfRule>
  </conditionalFormatting>
  <conditionalFormatting sqref="J69:K69">
    <cfRule type="expression" dxfId="2038" priority="63">
      <formula>$J69&gt;0</formula>
    </cfRule>
  </conditionalFormatting>
  <conditionalFormatting sqref="L69">
    <cfRule type="expression" dxfId="2037" priority="57">
      <formula>$L69&lt;0</formula>
    </cfRule>
    <cfRule type="expression" dxfId="2036" priority="58">
      <formula>$L69&gt;0</formula>
    </cfRule>
  </conditionalFormatting>
  <conditionalFormatting sqref="J69:K69">
    <cfRule type="expression" dxfId="2035" priority="62">
      <formula>$J69&lt;0</formula>
    </cfRule>
  </conditionalFormatting>
  <conditionalFormatting sqref="E71 H71:I71">
    <cfRule type="expression" dxfId="2034" priority="53">
      <formula>$H71=0</formula>
    </cfRule>
  </conditionalFormatting>
  <conditionalFormatting sqref="J71:K71">
    <cfRule type="expression" dxfId="2033" priority="54">
      <formula>$J71=0</formula>
    </cfRule>
  </conditionalFormatting>
  <conditionalFormatting sqref="L71">
    <cfRule type="expression" dxfId="2032" priority="52">
      <formula>$L72=0</formula>
    </cfRule>
  </conditionalFormatting>
  <conditionalFormatting sqref="J71:K71">
    <cfRule type="expression" dxfId="2031" priority="56">
      <formula>$J71&gt;0</formula>
    </cfRule>
  </conditionalFormatting>
  <conditionalFormatting sqref="L71">
    <cfRule type="expression" dxfId="2030" priority="50">
      <formula>$L71&lt;0</formula>
    </cfRule>
    <cfRule type="expression" dxfId="2029" priority="51">
      <formula>$L71&gt;0</formula>
    </cfRule>
  </conditionalFormatting>
  <conditionalFormatting sqref="J71:K71">
    <cfRule type="expression" dxfId="2028" priority="55">
      <formula>$J71&lt;0</formula>
    </cfRule>
  </conditionalFormatting>
  <conditionalFormatting sqref="E70 H70:I70">
    <cfRule type="expression" dxfId="2027" priority="46">
      <formula>$H70=0</formula>
    </cfRule>
  </conditionalFormatting>
  <conditionalFormatting sqref="J70:K70">
    <cfRule type="expression" dxfId="2026" priority="47">
      <formula>$J70=0</formula>
    </cfRule>
  </conditionalFormatting>
  <conditionalFormatting sqref="L70">
    <cfRule type="expression" dxfId="2025" priority="45">
      <formula>$L71=0</formula>
    </cfRule>
  </conditionalFormatting>
  <conditionalFormatting sqref="J70:K70">
    <cfRule type="expression" dxfId="2024" priority="49">
      <formula>$J70&gt;0</formula>
    </cfRule>
  </conditionalFormatting>
  <conditionalFormatting sqref="L70">
    <cfRule type="expression" dxfId="2023" priority="43">
      <formula>$L70&lt;0</formula>
    </cfRule>
    <cfRule type="expression" dxfId="2022" priority="44">
      <formula>$L70&gt;0</formula>
    </cfRule>
  </conditionalFormatting>
  <conditionalFormatting sqref="J70:K70">
    <cfRule type="expression" dxfId="2021" priority="48">
      <formula>$J70&lt;0</formula>
    </cfRule>
  </conditionalFormatting>
  <conditionalFormatting sqref="O73:O74">
    <cfRule type="expression" dxfId="2020" priority="37">
      <formula>$O73=0</formula>
    </cfRule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019" priority="35">
      <formula>$J73=0</formula>
    </cfRule>
  </conditionalFormatting>
  <conditionalFormatting sqref="L73:L74">
    <cfRule type="expression" dxfId="2018" priority="34">
      <formula>$L74=0</formula>
    </cfRule>
  </conditionalFormatting>
  <conditionalFormatting sqref="J73:K74">
    <cfRule type="expression" dxfId="2017" priority="36">
      <formula>$J73&lt;0</formula>
    </cfRule>
  </conditionalFormatting>
  <conditionalFormatting sqref="E72 H72:I72">
    <cfRule type="expression" dxfId="2016" priority="30">
      <formula>$H72=0</formula>
    </cfRule>
  </conditionalFormatting>
  <conditionalFormatting sqref="J72:K72">
    <cfRule type="expression" dxfId="2015" priority="31">
      <formula>$J72=0</formula>
    </cfRule>
  </conditionalFormatting>
  <conditionalFormatting sqref="L72">
    <cfRule type="expression" dxfId="2014" priority="29">
      <formula>$L73=0</formula>
    </cfRule>
  </conditionalFormatting>
  <conditionalFormatting sqref="J72:K72">
    <cfRule type="expression" dxfId="2013" priority="33">
      <formula>$J72&gt;0</formula>
    </cfRule>
  </conditionalFormatting>
  <conditionalFormatting sqref="L72">
    <cfRule type="expression" dxfId="2012" priority="27">
      <formula>$L72&lt;0</formula>
    </cfRule>
    <cfRule type="expression" dxfId="2011" priority="28">
      <formula>$L72&gt;0</formula>
    </cfRule>
  </conditionalFormatting>
  <conditionalFormatting sqref="J72:K72">
    <cfRule type="expression" dxfId="2010" priority="32">
      <formula>$J72&lt;0</formula>
    </cfRule>
  </conditionalFormatting>
  <conditionalFormatting sqref="O72:O74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009" priority="22">
      <formula>$H72=0</formula>
    </cfRule>
  </conditionalFormatting>
  <conditionalFormatting sqref="J72:K72">
    <cfRule type="expression" dxfId="2008" priority="23">
      <formula>$J72=0</formula>
    </cfRule>
  </conditionalFormatting>
  <conditionalFormatting sqref="L72">
    <cfRule type="expression" dxfId="2007" priority="21">
      <formula>$L73=0</formula>
    </cfRule>
  </conditionalFormatting>
  <conditionalFormatting sqref="J72:K72">
    <cfRule type="expression" dxfId="2006" priority="25">
      <formula>$J72&gt;0</formula>
    </cfRule>
  </conditionalFormatting>
  <conditionalFormatting sqref="L72">
    <cfRule type="expression" dxfId="2005" priority="19">
      <formula>$L72&lt;0</formula>
    </cfRule>
    <cfRule type="expression" dxfId="2004" priority="20">
      <formula>$L72&gt;0</formula>
    </cfRule>
  </conditionalFormatting>
  <conditionalFormatting sqref="J72:K72">
    <cfRule type="expression" dxfId="2003" priority="24">
      <formula>$J72&lt;0</formula>
    </cfRule>
  </conditionalFormatting>
  <conditionalFormatting sqref="E74 H74:I74">
    <cfRule type="expression" dxfId="2002" priority="15">
      <formula>$H74=0</formula>
    </cfRule>
  </conditionalFormatting>
  <conditionalFormatting sqref="J74:K74">
    <cfRule type="expression" dxfId="2001" priority="16">
      <formula>$J74=0</formula>
    </cfRule>
  </conditionalFormatting>
  <conditionalFormatting sqref="L74">
    <cfRule type="expression" dxfId="2000" priority="14">
      <formula>$L75=0</formula>
    </cfRule>
  </conditionalFormatting>
  <conditionalFormatting sqref="J74:K74">
    <cfRule type="expression" dxfId="1999" priority="18">
      <formula>$J74&gt;0</formula>
    </cfRule>
  </conditionalFormatting>
  <conditionalFormatting sqref="L74">
    <cfRule type="expression" dxfId="1998" priority="12">
      <formula>$L74&lt;0</formula>
    </cfRule>
    <cfRule type="expression" dxfId="1997" priority="13">
      <formula>$L74&gt;0</formula>
    </cfRule>
  </conditionalFormatting>
  <conditionalFormatting sqref="J74:K74">
    <cfRule type="expression" dxfId="1996" priority="17">
      <formula>$J74&lt;0</formula>
    </cfRule>
  </conditionalFormatting>
  <conditionalFormatting sqref="E73 H73:I73">
    <cfRule type="expression" dxfId="1995" priority="8">
      <formula>$H73=0</formula>
    </cfRule>
  </conditionalFormatting>
  <conditionalFormatting sqref="J73:K73">
    <cfRule type="expression" dxfId="1994" priority="9">
      <formula>$J73=0</formula>
    </cfRule>
  </conditionalFormatting>
  <conditionalFormatting sqref="L73">
    <cfRule type="expression" dxfId="1993" priority="7">
      <formula>$L74=0</formula>
    </cfRule>
  </conditionalFormatting>
  <conditionalFormatting sqref="J73:K73">
    <cfRule type="expression" dxfId="1992" priority="11">
      <formula>$J73&gt;0</formula>
    </cfRule>
  </conditionalFormatting>
  <conditionalFormatting sqref="L73">
    <cfRule type="expression" dxfId="1991" priority="5">
      <formula>$L73&lt;0</formula>
    </cfRule>
    <cfRule type="expression" dxfId="1990" priority="6">
      <formula>$L73&gt;0</formula>
    </cfRule>
  </conditionalFormatting>
  <conditionalFormatting sqref="J73:K73">
    <cfRule type="expression" dxfId="1989" priority="10">
      <formula>$J73&lt;0</formula>
    </cfRule>
  </conditionalFormatting>
  <conditionalFormatting sqref="P2:P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{4D0D4388-42C5-47D2-AC05-5D669F1F07B2}</x14:id>
        </ext>
      </extLst>
    </cfRule>
  </conditionalFormatting>
  <conditionalFormatting sqref="P1">
    <cfRule type="expression" dxfId="198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{BB326309-7BE2-4BC8-B8E9-3417D0F47D49}</x14:id>
        </ext>
      </extLst>
    </cfRule>
  </conditionalFormatting>
  <hyperlinks>
    <hyperlink ref="E25" location="BIIB!A1" display="BIIB"/>
    <hyperlink ref="E26" location="MYL!A1" display="MYL"/>
    <hyperlink ref="E9" location="SIG!A1" display="SIG"/>
    <hyperlink ref="E27" location="AAPL!A1" display="AAPL"/>
    <hyperlink ref="E28" location="AXP!A1" display="AXP"/>
    <hyperlink ref="E29" location="DG!A1" display="DG"/>
    <hyperlink ref="E30" location="PINC!A1" display="PINC"/>
    <hyperlink ref="E31" location="FOXA!A1" display="FOXA"/>
    <hyperlink ref="E10" location="AOBC!A1" display="AOBC"/>
    <hyperlink ref="E32" location="LUV!A1" display="LUV"/>
    <hyperlink ref="E33" location="CCE!A1" display="CCE"/>
    <hyperlink ref="E34" location="BMY!A1" display="BMY"/>
    <hyperlink ref="E35" location="GPS!A1" display="GPS"/>
    <hyperlink ref="E36" location="AKAM!A1" display="AKAM"/>
    <hyperlink ref="E37" location="ARNC!A1" display="ARNC"/>
    <hyperlink ref="E38" location="CVS!A1" display="CVS"/>
    <hyperlink ref="E39" location="ADBE!A1" display="ADBE"/>
    <hyperlink ref="E2" location="MRO!A1" display="MRO"/>
    <hyperlink ref="E21" location="GE!A1" display="GE"/>
    <hyperlink ref="E3" location="KR!A1" display="KR"/>
    <hyperlink ref="E40" location="F!A1" display="F"/>
    <hyperlink ref="E41" location="JNJ!A1" display="JNJ"/>
    <hyperlink ref="E6" location="ULTA!A1" display="ULTA"/>
    <hyperlink ref="E16" location="FRC!A1" display="FRC"/>
    <hyperlink ref="E17" location="AAP!A1" display="AAP"/>
    <hyperlink ref="E18" location="T!A1" display="T"/>
    <hyperlink ref="E23" location="COST!A1" display="COST"/>
    <hyperlink ref="E42" location="CPN!A1" display="CPN"/>
    <hyperlink ref="E43" location="EW!A1" display="EW"/>
    <hyperlink ref="E44" location="TJX!A1" display="TJX"/>
    <hyperlink ref="E13" location="WBA!A1" display="WBA"/>
    <hyperlink ref="E45" location="AZO!A1" display="AZO"/>
    <hyperlink ref="E22" location="AYI!A1" display="AYI"/>
    <hyperlink ref="E12" location="DIA!A1" display="DIA"/>
    <hyperlink ref="E46" location="NKE!A1" display="NKE"/>
    <hyperlink ref="E4" location="MOS!A1" display="MOS"/>
    <hyperlink ref="E47" location="VGK!A1" display="VGK"/>
    <hyperlink ref="E48" location="CMG!A1" display="CMG"/>
    <hyperlink ref="E19" location="HAS!A1" display="HAS"/>
    <hyperlink ref="E11" location="HSIC!A1" display="HSIC"/>
    <hyperlink ref="E7" location="PDCO!A1" display="PDCO"/>
    <hyperlink ref="E49" location="MU!A1" display="MU"/>
    <hyperlink ref="E50" location="IP!A1" display="IP"/>
    <hyperlink ref="E51" location="INTC!A1" display="INTC"/>
    <hyperlink ref="E52" location="HES!A1" display="HES"/>
    <hyperlink ref="E53" location="UNP!A1" display="UNP"/>
    <hyperlink ref="E54" location="NCLH!A1" display="NCLH"/>
    <hyperlink ref="E5" location="SPY!A1" display="SPY"/>
    <hyperlink ref="E55" location="SWKS!A1" display="SWKS"/>
    <hyperlink ref="E56" location="CNI!A1" display="CNI"/>
    <hyperlink ref="E14" location="WFC!A1" display="WFC"/>
    <hyperlink ref="E57" location="AA!A1" display="AA"/>
    <hyperlink ref="E58" location="CF!A1" display="CF"/>
    <hyperlink ref="E59" location="TGT!A1" display="TGT"/>
    <hyperlink ref="E8" location="NWL!A1" display="NWL"/>
    <hyperlink ref="E60" location="KORS!A1" display="KORS"/>
    <hyperlink ref="E61" location="ALL!A1" display="ALL"/>
    <hyperlink ref="E62" location="NSC!A1" display="NSC"/>
    <hyperlink ref="E63" location="AVGO!A1" display="AVGO"/>
    <hyperlink ref="E64" location="UAL!A1" display="UAL"/>
    <hyperlink ref="E65" location="CAH!A1" display="CAH"/>
    <hyperlink ref="E66" location="DAL!A1" display="DAL"/>
    <hyperlink ref="E24" location="TEVA!A1" display="TEVA"/>
    <hyperlink ref="E67" location="DIS!A1" display="DIS"/>
    <hyperlink ref="E68" location="FTR!A1" display="FTR"/>
    <hyperlink ref="E20" location="GILD!A1" display="GILD"/>
    <hyperlink ref="E69" location="WWD!A1" display="WWD"/>
    <hyperlink ref="E15" location="GIS!A1" display="GIS"/>
    <hyperlink ref="E70" location="GM!A1" display="GM"/>
    <hyperlink ref="E71" location="TMO!A1" display="TMO"/>
    <hyperlink ref="E72" location="TKR!A1" display="TKR"/>
    <hyperlink ref="E73" location="UTX!A1" display="UTX"/>
    <hyperlink ref="E7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O75:O1048576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4D0D4388-42C5-47D2-AC05-5D669F1F07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P2:P1048576</xm:sqref>
        </x14:conditionalFormatting>
        <x14:conditionalFormatting xmlns:xm="http://schemas.microsoft.com/office/excel/2006/main">
          <x14:cfRule type="dataBar" id="{BB326309-7BE2-4BC8-B8E9-3417D0F47D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65" activePane="bottomLeft" state="frozen"/>
      <selection activeCell="E5" sqref="E5"/>
      <selection pane="bottomLeft" activeCell="S290" sqref="S290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01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01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01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01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01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01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1079.5000000000005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47385.689666668259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46153.009666668324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46151.510000000009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-2.0333331682195421E-2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>
        <v>43132</v>
      </c>
      <c r="T289" s="417">
        <v>16.059999999999999</v>
      </c>
    </row>
    <row r="290" spans="1:20" ht="18" customHeight="1" x14ac:dyDescent="0.25">
      <c r="Q290" s="354"/>
      <c r="R290" s="440"/>
      <c r="S290" s="459"/>
      <c r="T290" s="417"/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1079.5000000000005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1987" priority="7">
      <formula>#REF!&gt;0</formula>
    </cfRule>
    <cfRule type="expression" dxfId="198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78"/>
  <sheetViews>
    <sheetView tabSelected="1" topLeftCell="F1" zoomScaleNormal="100" workbookViewId="0">
      <pane ySplit="1" topLeftCell="A559" activePane="bottomLeft" state="frozen"/>
      <selection pane="bottomLeft" activeCell="S581" sqref="S58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835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46151.510000000009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  <row r="568" spans="1:24" ht="20.100000000000001" customHeight="1" x14ac:dyDescent="0.25">
      <c r="A568" s="163">
        <f t="shared" ref="A568" si="2136">B568-$B$2</f>
        <v>889</v>
      </c>
      <c r="B568" s="172">
        <v>43122</v>
      </c>
      <c r="C568" s="215">
        <v>2832.97</v>
      </c>
      <c r="D568" s="171">
        <f t="shared" ref="D568" si="2137">(C568-C567)/C567</f>
        <v>8.0667544390277245E-3</v>
      </c>
      <c r="E568" s="209">
        <f t="shared" ref="E568" si="2138">(C568-$C$2)/$C$2</f>
        <v>0.34746770419132045</v>
      </c>
      <c r="F568" s="219">
        <v>7408.03</v>
      </c>
      <c r="G568" s="171">
        <f t="shared" ref="G568" si="2139">(F568-F567)/F567</f>
        <v>9.7663970514067742E-3</v>
      </c>
      <c r="H568" s="203">
        <f t="shared" ref="H568" si="2140">(F568-F$2)/F$2</f>
        <v>0.45492271736355244</v>
      </c>
      <c r="I568" s="221">
        <v>368309.46</v>
      </c>
      <c r="J568" s="173">
        <v>300000</v>
      </c>
      <c r="K568" s="173">
        <f t="shared" ref="K568" si="2141">I568-I567-J568+J567</f>
        <v>3116.7000000000116</v>
      </c>
      <c r="L568" s="171">
        <f t="shared" ref="L568" si="2142">K568/I567</f>
        <v>8.5343970126899871E-3</v>
      </c>
      <c r="M568" s="182">
        <f t="shared" ref="M568" si="2143">I568-J568</f>
        <v>68309.460000000021</v>
      </c>
      <c r="N568" s="184">
        <f t="shared" ref="N568" si="2144">M568/J568</f>
        <v>0.22769820000000007</v>
      </c>
      <c r="O568" s="183">
        <f t="shared" ref="O568" si="2145">N568/(A568/365.25)</f>
        <v>9.3550919628796428E-2</v>
      </c>
      <c r="P568" s="182" t="b">
        <f t="shared" ref="P568" si="2146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47">I568-R568</f>
        <v>148229.66000000003</v>
      </c>
      <c r="T568" s="173">
        <v>-30244</v>
      </c>
      <c r="U568" s="173">
        <f t="shared" ref="U568" si="2148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49">O568/W568</f>
        <v>0.32592514204778938</v>
      </c>
    </row>
    <row r="569" spans="1:24" ht="20.100000000000001" customHeight="1" x14ac:dyDescent="0.25">
      <c r="A569" s="163">
        <f t="shared" ref="A569" si="2150">B569-$B$2</f>
        <v>890</v>
      </c>
      <c r="B569" s="172">
        <v>43123</v>
      </c>
      <c r="C569" s="215">
        <v>2839.12</v>
      </c>
      <c r="D569" s="171">
        <f t="shared" ref="D569" si="2151">(C569-C568)/C568</f>
        <v>2.170866617013273E-3</v>
      </c>
      <c r="E569" s="209">
        <f t="shared" ref="E569" si="2152">(C569-$C$2)/$C$2</f>
        <v>0.35039287684785286</v>
      </c>
      <c r="F569" s="219">
        <v>7460.28</v>
      </c>
      <c r="G569" s="171">
        <f t="shared" ref="G569" si="2153">(F569-F568)/F568</f>
        <v>7.0531571821388413E-3</v>
      </c>
      <c r="H569" s="203">
        <f t="shared" ref="H569" si="2154">(F569-F$2)/F$2</f>
        <v>0.46518451597698213</v>
      </c>
      <c r="I569" s="221">
        <v>368315.52</v>
      </c>
      <c r="J569" s="173">
        <v>300000</v>
      </c>
      <c r="K569" s="173">
        <f t="shared" ref="K569" si="2155">I569-I568-J569+J568</f>
        <v>6.0599999999976717</v>
      </c>
      <c r="L569" s="171">
        <f t="shared" ref="L569" si="2156">K569/I568</f>
        <v>1.6453555116389548E-5</v>
      </c>
      <c r="M569" s="182">
        <f t="shared" ref="M569" si="2157">I569-J569</f>
        <v>68315.520000000019</v>
      </c>
      <c r="N569" s="184">
        <f t="shared" ref="N569" si="2158">M569/J569</f>
        <v>0.22771840000000007</v>
      </c>
      <c r="O569" s="183">
        <f t="shared" ref="O569" si="2159">N569/(A569/365.25)</f>
        <v>9.3454096179775306E-2</v>
      </c>
      <c r="P569" s="182" t="b">
        <f t="shared" ref="P569" si="2160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61">I569-R569</f>
        <v>149858.77000000002</v>
      </c>
      <c r="T569" s="173">
        <v>-30209</v>
      </c>
      <c r="U569" s="173">
        <f t="shared" ref="U569" si="2162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63">O569/W569</f>
        <v>0.32587543496883586</v>
      </c>
    </row>
    <row r="570" spans="1:24" ht="20.100000000000001" customHeight="1" x14ac:dyDescent="0.25">
      <c r="A570" s="163">
        <f t="shared" ref="A570" si="2164">B570-$B$2</f>
        <v>891</v>
      </c>
      <c r="B570" s="172">
        <v>43124</v>
      </c>
      <c r="C570" s="215">
        <v>2837.54</v>
      </c>
      <c r="D570" s="171">
        <f t="shared" ref="D570" si="2165">(C570-C569)/C569</f>
        <v>-5.5651046803232239E-4</v>
      </c>
      <c r="E570" s="209">
        <f t="shared" ref="E570" si="2166">(C570-$C$2)/$C$2</f>
        <v>0.3496413690759308</v>
      </c>
      <c r="F570" s="219">
        <v>7415.05</v>
      </c>
      <c r="G570" s="171">
        <f t="shared" ref="G570" si="2167">(F570-F569)/F569</f>
        <v>-6.0627751237218395E-3</v>
      </c>
      <c r="H570" s="203">
        <f t="shared" ref="H570" si="2168">(F570-F$2)/F$2</f>
        <v>0.4563014317418545</v>
      </c>
      <c r="I570" s="221">
        <v>368621.05</v>
      </c>
      <c r="J570" s="173">
        <v>300000</v>
      </c>
      <c r="K570" s="173">
        <f t="shared" ref="K570" si="2169">I570-I569-J570+J569</f>
        <v>305.52999999996973</v>
      </c>
      <c r="L570" s="171">
        <f t="shared" ref="L570" si="2170">K570/I569</f>
        <v>8.2953333055302617E-4</v>
      </c>
      <c r="M570" s="182">
        <f t="shared" ref="M570" si="2171">I570-J570</f>
        <v>68621.049999999988</v>
      </c>
      <c r="N570" s="184">
        <f t="shared" ref="N570" si="2172">M570/J570</f>
        <v>0.22873683333333331</v>
      </c>
      <c r="O570" s="183">
        <f t="shared" ref="O570" si="2173">N570/(A570/365.25)</f>
        <v>9.3766698512906838E-2</v>
      </c>
      <c r="P570" s="182" t="b">
        <f t="shared" ref="P570" si="2174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75">I570-R570</f>
        <v>149024.19999999998</v>
      </c>
      <c r="T570" s="173">
        <v>-30343</v>
      </c>
      <c r="U570" s="173">
        <f t="shared" ref="U570" si="2176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77">O570/W570</f>
        <v>0.32725417304130078</v>
      </c>
    </row>
    <row r="571" spans="1:24" ht="20.100000000000001" customHeight="1" x14ac:dyDescent="0.25">
      <c r="A571" s="163">
        <f t="shared" ref="A571" si="2178">B571-$B$2</f>
        <v>892</v>
      </c>
      <c r="B571" s="172">
        <v>43125</v>
      </c>
      <c r="C571" s="215">
        <v>2839.25</v>
      </c>
      <c r="D571" s="171">
        <f t="shared" ref="D571" si="2179">(C571-C570)/C570</f>
        <v>6.0263467651558618E-4</v>
      </c>
      <c r="E571" s="209">
        <f t="shared" ref="E571" si="2180">(C571-$C$2)/$C$2</f>
        <v>0.3504547097657959</v>
      </c>
      <c r="F571" s="219">
        <v>7411.16</v>
      </c>
      <c r="G571" s="171">
        <f t="shared" ref="G571" si="2181">(F571-F570)/F570</f>
        <v>-5.2460873493777218E-4</v>
      </c>
      <c r="H571" s="203">
        <f t="shared" ref="H571" si="2182">(F571-F$2)/F$2</f>
        <v>0.4555374432900603</v>
      </c>
      <c r="I571" s="221">
        <v>365192.24</v>
      </c>
      <c r="J571" s="173">
        <v>300000</v>
      </c>
      <c r="K571" s="173">
        <f t="shared" ref="K571" si="2183">I571-I570-J571+J570</f>
        <v>-3428.8099999999977</v>
      </c>
      <c r="L571" s="171">
        <f t="shared" ref="L571" si="2184">K571/I570</f>
        <v>-9.3017205609934595E-3</v>
      </c>
      <c r="M571" s="182">
        <f t="shared" ref="M571" si="2185">I571-J571</f>
        <v>65192.239999999991</v>
      </c>
      <c r="N571" s="184">
        <f t="shared" ref="N571" si="2186">M571/J571</f>
        <v>0.21730746666666664</v>
      </c>
      <c r="O571" s="183">
        <f t="shared" ref="O571" si="2187">N571/(A571/365.25)</f>
        <v>8.8981560762331838E-2</v>
      </c>
      <c r="P571" s="182" t="b">
        <f t="shared" ref="P571" si="2188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89">I571-R571</f>
        <v>151785.99</v>
      </c>
      <c r="T571" s="173">
        <v>-32432</v>
      </c>
      <c r="U571" s="173">
        <f t="shared" ref="U571" si="2190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191">O571/W571</f>
        <v>0.31074376950994032</v>
      </c>
    </row>
    <row r="572" spans="1:24" ht="20.100000000000001" customHeight="1" x14ac:dyDescent="0.25">
      <c r="A572" s="163">
        <f t="shared" ref="A572" si="2192">B572-$B$2</f>
        <v>893</v>
      </c>
      <c r="B572" s="172">
        <v>43126</v>
      </c>
      <c r="C572" s="215">
        <v>2872.87</v>
      </c>
      <c r="D572" s="171">
        <f t="shared" ref="D572" si="2193">(C572-C571)/C571</f>
        <v>1.1841155234657001E-2</v>
      </c>
      <c r="E572" s="209">
        <f t="shared" ref="E572" si="2194">(C572-$C$2)/$C$2</f>
        <v>0.36644565362150633</v>
      </c>
      <c r="F572" s="219">
        <v>7505.77</v>
      </c>
      <c r="G572" s="171">
        <f t="shared" ref="G572" si="2195">(F572-F571)/F571</f>
        <v>1.2765882803771687E-2</v>
      </c>
      <c r="H572" s="203">
        <f t="shared" ref="H572" si="2196">(F572-F$2)/F$2</f>
        <v>0.47411866370760269</v>
      </c>
      <c r="I572" s="221">
        <v>367940.03</v>
      </c>
      <c r="J572" s="173">
        <v>300000</v>
      </c>
      <c r="K572" s="173">
        <f t="shared" ref="K572" si="2197">I572-I571-J572+J571</f>
        <v>2747.7900000000373</v>
      </c>
      <c r="L572" s="171">
        <f t="shared" ref="L572" si="2198">K572/I571</f>
        <v>7.5242288828482155E-3</v>
      </c>
      <c r="M572" s="182">
        <f t="shared" ref="M572" si="2199">I572-J572</f>
        <v>67940.030000000028</v>
      </c>
      <c r="N572" s="184">
        <f t="shared" ref="N572" si="2200">M572/J572</f>
        <v>0.22646676666666676</v>
      </c>
      <c r="O572" s="183">
        <f t="shared" ref="O572" si="2201">N572/(A572/365.25)</f>
        <v>9.2628204395296801E-2</v>
      </c>
      <c r="P572" s="182" t="b">
        <f t="shared" ref="P572" si="2202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03">I572-R572</f>
        <v>178212.28000000003</v>
      </c>
      <c r="T572" s="173">
        <v>-32122</v>
      </c>
      <c r="U572" s="173">
        <f t="shared" ref="U572" si="2204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05">O572/W572</f>
        <v>0.32372209409395913</v>
      </c>
    </row>
    <row r="573" spans="1:24" ht="20.100000000000001" customHeight="1" x14ac:dyDescent="0.25">
      <c r="A573" s="163">
        <f t="shared" ref="A573" si="2206">B573-$B$2</f>
        <v>896</v>
      </c>
      <c r="B573" s="172">
        <v>43129</v>
      </c>
      <c r="C573" s="215">
        <v>2853.53</v>
      </c>
      <c r="D573" s="171">
        <f t="shared" ref="D573" si="2207">(C573-C572)/C572</f>
        <v>-6.7319440141738723E-3</v>
      </c>
      <c r="E573" s="209">
        <f t="shared" ref="E573" si="2208">(C573-$C$2)/$C$2</f>
        <v>0.35724681798291513</v>
      </c>
      <c r="F573" s="219">
        <v>7466.5</v>
      </c>
      <c r="G573" s="171">
        <f t="shared" ref="G573" si="2209">(F573-F572)/F572</f>
        <v>-5.2319748673354547E-3</v>
      </c>
      <c r="H573" s="203">
        <f t="shared" ref="H573" si="2210">(F573-F$2)/F$2</f>
        <v>0.46640611190761438</v>
      </c>
      <c r="I573" s="221">
        <v>367642.25</v>
      </c>
      <c r="J573" s="173">
        <v>300000</v>
      </c>
      <c r="K573" s="173">
        <f t="shared" ref="K573" si="2211">I573-I572-J573+J572</f>
        <v>-297.78000000002794</v>
      </c>
      <c r="L573" s="171">
        <f t="shared" ref="L573" si="2212">K573/I572</f>
        <v>-8.0931667043683151E-4</v>
      </c>
      <c r="M573" s="182">
        <f t="shared" ref="M573" si="2213">I573-J573</f>
        <v>67642.25</v>
      </c>
      <c r="N573" s="184">
        <f t="shared" ref="N573" si="2214">M573/J573</f>
        <v>0.22547416666666667</v>
      </c>
      <c r="O573" s="183">
        <f t="shared" ref="O573" si="2215">N573/(A573/365.25)</f>
        <v>9.1913436802455367E-2</v>
      </c>
      <c r="P573" s="182" t="b">
        <f t="shared" ref="P573" si="2216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17">I573-R573</f>
        <v>177913.5</v>
      </c>
      <c r="T573" s="173">
        <v>-32121</v>
      </c>
      <c r="U573" s="173">
        <f t="shared" ref="U573" si="2218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19">O573/W573</f>
        <v>0.32150433122995509</v>
      </c>
    </row>
    <row r="574" spans="1:24" ht="20.100000000000001" customHeight="1" x14ac:dyDescent="0.25">
      <c r="A574" s="163">
        <f t="shared" ref="A574" si="2220">B574-$B$2</f>
        <v>897</v>
      </c>
      <c r="B574" s="172">
        <v>43130</v>
      </c>
      <c r="C574" s="215">
        <v>2822.43</v>
      </c>
      <c r="D574" s="171">
        <f t="shared" ref="D574" si="2221">(C574-C573)/C573</f>
        <v>-1.0898781509218533E-2</v>
      </c>
      <c r="E574" s="209">
        <f t="shared" ref="E574" si="2222">(C574-$C$2)/$C$2</f>
        <v>0.34245448145963725</v>
      </c>
      <c r="F574" s="219">
        <v>7402.48</v>
      </c>
      <c r="G574" s="171">
        <f t="shared" ref="G574" si="2223">(F574-F573)/F573</f>
        <v>-8.5742985334494662E-3</v>
      </c>
      <c r="H574" s="203">
        <f t="shared" ref="H574" si="2224">(F574-F$2)/F$2</f>
        <v>0.4538327081328436</v>
      </c>
      <c r="I574" s="221">
        <v>363472.55</v>
      </c>
      <c r="J574" s="173">
        <v>300000</v>
      </c>
      <c r="K574" s="173">
        <f t="shared" ref="K574" si="2225">I574-I573-J574+J573</f>
        <v>-4169.7000000000116</v>
      </c>
      <c r="L574" s="171">
        <f t="shared" ref="L574" si="2226">K574/I573</f>
        <v>-1.1341732349859168E-2</v>
      </c>
      <c r="M574" s="182">
        <f t="shared" ref="M574" si="2227">I574-J574</f>
        <v>63472.549999999988</v>
      </c>
      <c r="N574" s="184">
        <f t="shared" ref="N574" si="2228">M574/J574</f>
        <v>0.21157516666666662</v>
      </c>
      <c r="O574" s="183">
        <f t="shared" ref="O574" si="2229">N574/(A574/365.25)</f>
        <v>8.6151426560758054E-2</v>
      </c>
      <c r="P574" s="182" t="b">
        <f t="shared" ref="P574" si="2230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31">I574-R574</f>
        <v>161319</v>
      </c>
      <c r="T574" s="173">
        <v>-32010</v>
      </c>
      <c r="U574" s="173">
        <f t="shared" ref="U574" si="2232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33">O574/W574</f>
        <v>0.30149621670372895</v>
      </c>
    </row>
    <row r="575" spans="1:24" ht="20.100000000000001" customHeight="1" x14ac:dyDescent="0.25">
      <c r="A575" s="163">
        <f t="shared" ref="A575" si="2234">B575-$B$2</f>
        <v>898</v>
      </c>
      <c r="B575" s="172">
        <v>43131</v>
      </c>
      <c r="C575" s="215">
        <v>2823.81</v>
      </c>
      <c r="D575" s="171">
        <f t="shared" ref="D575" si="2235">(C575-C574)/C574</f>
        <v>4.8894038116095327E-4</v>
      </c>
      <c r="E575" s="209">
        <f t="shared" ref="E575" si="2236">(C575-$C$2)/$C$2</f>
        <v>0.34311086166549337</v>
      </c>
      <c r="F575" s="219">
        <v>7411.48</v>
      </c>
      <c r="G575" s="171">
        <f t="shared" ref="G575" si="2237">(F575-F574)/F574</f>
        <v>1.215808755984481E-3</v>
      </c>
      <c r="H575" s="203">
        <f t="shared" ref="H575" si="2238">(F575-F$2)/F$2</f>
        <v>0.45560029066912816</v>
      </c>
      <c r="I575" s="473">
        <v>363062.5</v>
      </c>
      <c r="J575" s="173">
        <v>300000</v>
      </c>
      <c r="K575" s="173">
        <f t="shared" ref="K575" si="2239">I575-I574-J575+J574</f>
        <v>-410.04999999998836</v>
      </c>
      <c r="L575" s="171">
        <f t="shared" ref="L575" si="2240">K575/I574</f>
        <v>-1.1281457155429987E-3</v>
      </c>
      <c r="M575" s="473">
        <f t="shared" ref="M575" si="2241">I575-J575</f>
        <v>63062.5</v>
      </c>
      <c r="N575" s="184">
        <f t="shared" ref="N575" si="2242">M575/J575</f>
        <v>0.21020833333333333</v>
      </c>
      <c r="O575" s="183">
        <f t="shared" ref="O575" si="2243">N575/(A575/365.25)</f>
        <v>8.5499547605790635E-2</v>
      </c>
      <c r="P575" s="182" t="b">
        <f t="shared" ref="P575" si="2244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45">I575-R575</f>
        <v>137246</v>
      </c>
      <c r="T575" s="173">
        <v>-31812</v>
      </c>
      <c r="U575" s="173">
        <f t="shared" ref="U575" si="2246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47">O575/W575</f>
        <v>0.29947424513700288</v>
      </c>
    </row>
    <row r="576" spans="1:24" ht="20.100000000000001" customHeight="1" x14ac:dyDescent="0.25">
      <c r="A576" s="163">
        <f t="shared" ref="A576" si="2248">B576-$B$2</f>
        <v>899</v>
      </c>
      <c r="B576" s="172">
        <v>43132</v>
      </c>
      <c r="C576" s="215">
        <v>2821.98</v>
      </c>
      <c r="D576" s="171">
        <f t="shared" ref="D576" si="2249">(C576-C575)/C575</f>
        <v>-6.4806059897795079E-4</v>
      </c>
      <c r="E576" s="209">
        <f t="shared" ref="E576" si="2250">(C576-$C$2)/$C$2</f>
        <v>0.34224044443598861</v>
      </c>
      <c r="F576" s="219">
        <v>7385.86</v>
      </c>
      <c r="G576" s="171">
        <f t="shared" ref="G576" si="2251">(F576-F575)/F575</f>
        <v>-3.4567994516614621E-3</v>
      </c>
      <c r="H576" s="203">
        <f t="shared" ref="H576" si="2252">(F576-F$2)/F$2</f>
        <v>0.45056857238250486</v>
      </c>
      <c r="I576" s="221">
        <v>363770.56</v>
      </c>
      <c r="J576" s="173">
        <v>300000</v>
      </c>
      <c r="K576" s="173">
        <f t="shared" ref="K576" si="2253">I576-I575-J576+J575</f>
        <v>708.05999999999767</v>
      </c>
      <c r="L576" s="171">
        <f t="shared" ref="L576" si="2254">K576/I575</f>
        <v>1.95024272680323E-3</v>
      </c>
      <c r="M576" s="182">
        <f t="shared" ref="M576" si="2255">I576-J576</f>
        <v>63770.559999999998</v>
      </c>
      <c r="N576" s="184">
        <f t="shared" ref="N576" si="2256">M576/J576</f>
        <v>0.21256853333333334</v>
      </c>
      <c r="O576" s="183">
        <f t="shared" ref="O576" si="2257">N576/(A576/365.25)</f>
        <v>8.6363355728587318E-2</v>
      </c>
      <c r="P576" s="182" t="b">
        <f t="shared" ref="P576" si="2258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59">I576-R576</f>
        <v>130372.06</v>
      </c>
      <c r="T576" s="173">
        <v>-31543</v>
      </c>
      <c r="U576" s="173">
        <f t="shared" ref="U576" si="2260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61">O576/W576</f>
        <v>0.30276276861220686</v>
      </c>
    </row>
    <row r="577" spans="1:24" ht="20.100000000000001" customHeight="1" x14ac:dyDescent="0.25">
      <c r="A577" s="163">
        <f t="shared" ref="A577" si="2262">B577-$B$2</f>
        <v>900</v>
      </c>
      <c r="B577" s="172">
        <v>43133</v>
      </c>
      <c r="C577" s="215">
        <v>2762.13</v>
      </c>
      <c r="D577" s="171">
        <f t="shared" ref="D577" si="2263">(C577-C576)/C576</f>
        <v>-2.1208513171602886E-2</v>
      </c>
      <c r="E577" s="209">
        <f t="shared" ref="E577" si="2264">(C577-$C$2)/$C$2</f>
        <v>0.31377352029070987</v>
      </c>
      <c r="F577" s="219">
        <v>7240.94</v>
      </c>
      <c r="G577" s="171">
        <f t="shared" ref="G577" si="2265">(F577-F576)/F576</f>
        <v>-1.9621276330718439E-2</v>
      </c>
      <c r="H577" s="203">
        <f t="shared" ref="H577" si="2266">(F577-F$2)/F$2</f>
        <v>0.422106565587132</v>
      </c>
      <c r="I577" s="221">
        <v>356559.21</v>
      </c>
      <c r="J577" s="173">
        <v>300000</v>
      </c>
      <c r="K577" s="173">
        <f t="shared" ref="K577" si="2267">I577-I576-J577+J576</f>
        <v>-7211.3499999999767</v>
      </c>
      <c r="L577" s="171">
        <f t="shared" ref="L577" si="2268">K577/I576</f>
        <v>-1.9823896689165767E-2</v>
      </c>
      <c r="M577" s="182">
        <f t="shared" ref="M577" si="2269">I577-J577</f>
        <v>56559.210000000021</v>
      </c>
      <c r="N577" s="184">
        <f t="shared" ref="N577" si="2270">M577/J577</f>
        <v>0.18853070000000008</v>
      </c>
      <c r="O577" s="183">
        <f t="shared" ref="O577" si="2271">N577/(A577/365.25)</f>
        <v>7.651204241666669E-2</v>
      </c>
      <c r="P577" s="182" t="b">
        <f t="shared" ref="P577" si="2272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73">I577-R577</f>
        <v>99785.760000000009</v>
      </c>
      <c r="T577" s="173">
        <v>-31380</v>
      </c>
      <c r="U577" s="173">
        <f t="shared" ref="U577" si="2274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75">O577/W577</f>
        <v>0.26815815305107671</v>
      </c>
    </row>
    <row r="578" spans="1:24" ht="20.100000000000001" customHeight="1" x14ac:dyDescent="0.25">
      <c r="A578" s="163">
        <f t="shared" ref="A578" si="2276">B578-$B$2</f>
        <v>903</v>
      </c>
      <c r="B578" s="172">
        <v>43136</v>
      </c>
      <c r="C578" s="215">
        <v>2648.94</v>
      </c>
      <c r="D578" s="171">
        <f t="shared" ref="D578" si="2277">(C578-C577)/C577</f>
        <v>-4.0979244278871757E-2</v>
      </c>
      <c r="E578" s="209">
        <f t="shared" ref="E578" si="2278">(C578-$C$2)/$C$2</f>
        <v>0.25993607427560356</v>
      </c>
      <c r="F578" s="219">
        <v>6967.52</v>
      </c>
      <c r="G578" s="171">
        <f t="shared" ref="G578" si="2279">(F578-F577)/F577</f>
        <v>-3.7760290790974538E-2</v>
      </c>
      <c r="H578" s="203">
        <f t="shared" ref="H578" si="2280">(F578-F$2)/F$2</f>
        <v>0.36840740813480777</v>
      </c>
      <c r="I578" s="221">
        <v>346151.51</v>
      </c>
      <c r="J578" s="173">
        <v>300000</v>
      </c>
      <c r="K578" s="173">
        <f t="shared" ref="K578" si="2281">I578-I577-J578+J577</f>
        <v>-10407.700000000012</v>
      </c>
      <c r="L578" s="171">
        <f t="shared" ref="L578" si="2282">K578/I577</f>
        <v>-2.918926144131857E-2</v>
      </c>
      <c r="M578" s="182">
        <f t="shared" ref="M578" si="2283">I578-J578</f>
        <v>46151.510000000009</v>
      </c>
      <c r="N578" s="184">
        <f t="shared" ref="N578" si="2284">M578/J578</f>
        <v>0.1538383666666667</v>
      </c>
      <c r="O578" s="183">
        <f t="shared" ref="O578" si="2285">N578/(A578/365.25)</f>
        <v>6.2225319407530469E-2</v>
      </c>
      <c r="P578" s="182" t="b">
        <f t="shared" ref="P578" si="2286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87">I578-R578</f>
        <v>80176.94</v>
      </c>
      <c r="T578" s="173">
        <v>-31901</v>
      </c>
      <c r="U578" s="173">
        <f t="shared" ref="U578" si="2288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89">O578/W578</f>
        <v>0.21775628578151066</v>
      </c>
    </row>
  </sheetData>
  <conditionalFormatting sqref="D3:D578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78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78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78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79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328.31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328.31</v>
      </c>
      <c r="R4" s="504">
        <v>-4.5100000000000001E-2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802" t="s">
        <v>78</v>
      </c>
      <c r="P42" s="802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361.14100000000002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357.85790000000003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354.57480000000004</v>
      </c>
      <c r="Q45" s="2"/>
      <c r="T45" s="421" t="s">
        <v>99</v>
      </c>
      <c r="U45" s="482" t="s">
        <v>589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351.29170000000005</v>
      </c>
      <c r="Q46" s="2"/>
      <c r="T46" s="421" t="s">
        <v>100</v>
      </c>
      <c r="U46" s="482" t="s">
        <v>590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348.0086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344.72550000000001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341.44240000000002</v>
      </c>
      <c r="Q49" s="2"/>
      <c r="T49" s="421" t="s">
        <v>103</v>
      </c>
      <c r="U49" s="482" t="s">
        <v>542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338.15930000000003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334.87619999999998</v>
      </c>
      <c r="Q51" s="2"/>
      <c r="T51" s="421" t="s">
        <v>104</v>
      </c>
      <c r="U51" s="482" t="s">
        <v>591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331.59309999999999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328.31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325.02690000000001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321.74380000000002</v>
      </c>
      <c r="Q55" s="2"/>
      <c r="T55" s="421" t="s">
        <v>107</v>
      </c>
      <c r="U55" s="482" t="s">
        <v>592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318.46069999999997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315.17759999999998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311.89449999999999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308.6114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305.32830000000001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302.04520000000002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298.76210000000003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295.47899999999998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1985" priority="58">
      <formula>F19&gt;0</formula>
    </cfRule>
    <cfRule type="expression" dxfId="198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983" priority="47">
      <formula>H25&gt;0</formula>
    </cfRule>
    <cfRule type="expression" dxfId="1982" priority="48">
      <formula>H25&lt;0</formula>
    </cfRule>
  </conditionalFormatting>
  <conditionalFormatting sqref="M39">
    <cfRule type="expression" dxfId="1981" priority="45">
      <formula>M39&gt;0</formula>
    </cfRule>
    <cfRule type="expression" dxfId="1980" priority="46">
      <formula>M39&lt;0</formula>
    </cfRule>
  </conditionalFormatting>
  <conditionalFormatting sqref="F61:F67">
    <cfRule type="expression" dxfId="1979" priority="43">
      <formula>F61&gt;0</formula>
    </cfRule>
    <cfRule type="expression" dxfId="1978" priority="44">
      <formula>F61&lt;0</formula>
    </cfRule>
  </conditionalFormatting>
  <conditionalFormatting sqref="H61:H67">
    <cfRule type="expression" dxfId="1977" priority="41">
      <formula>H61&gt;0</formula>
    </cfRule>
    <cfRule type="expression" dxfId="1976" priority="42">
      <formula>H61&lt;0</formula>
    </cfRule>
  </conditionalFormatting>
  <conditionalFormatting sqref="F21:F24">
    <cfRule type="expression" dxfId="1975" priority="39">
      <formula>F21&gt;0</formula>
    </cfRule>
    <cfRule type="expression" dxfId="1974" priority="40">
      <formula>F21&lt;0</formula>
    </cfRule>
  </conditionalFormatting>
  <conditionalFormatting sqref="H21:H24">
    <cfRule type="expression" dxfId="1973" priority="37">
      <formula>H21&gt;0</formula>
    </cfRule>
    <cfRule type="expression" dxfId="1972" priority="38">
      <formula>H21&lt;0</formula>
    </cfRule>
  </conditionalFormatting>
  <conditionalFormatting sqref="I25:I28">
    <cfRule type="expression" dxfId="1971" priority="31">
      <formula>I25&gt;0</formula>
    </cfRule>
    <cfRule type="expression" dxfId="1970" priority="32">
      <formula>I25&lt;0</formula>
    </cfRule>
  </conditionalFormatting>
  <conditionalFormatting sqref="I21:I24">
    <cfRule type="expression" dxfId="1969" priority="29">
      <formula>I21&gt;0</formula>
    </cfRule>
    <cfRule type="expression" dxfId="1968" priority="30">
      <formula>I21&lt;0</formula>
    </cfRule>
  </conditionalFormatting>
  <conditionalFormatting sqref="H29">
    <cfRule type="expression" dxfId="1967" priority="27">
      <formula>H29&gt;0</formula>
    </cfRule>
    <cfRule type="expression" dxfId="1966" priority="28">
      <formula>H29&lt;0</formula>
    </cfRule>
  </conditionalFormatting>
  <conditionalFormatting sqref="H30">
    <cfRule type="expression" dxfId="1965" priority="25">
      <formula>H30&gt;0</formula>
    </cfRule>
    <cfRule type="expression" dxfId="1964" priority="26">
      <formula>H30&lt;0</formula>
    </cfRule>
  </conditionalFormatting>
  <conditionalFormatting sqref="H31">
    <cfRule type="expression" dxfId="1963" priority="23">
      <formula>H31&gt;0</formula>
    </cfRule>
    <cfRule type="expression" dxfId="1962" priority="24">
      <formula>H31&lt;0</formula>
    </cfRule>
  </conditionalFormatting>
  <conditionalFormatting sqref="Q7">
    <cfRule type="expression" dxfId="1961" priority="21">
      <formula>Q7&gt;0</formula>
    </cfRule>
    <cfRule type="expression" dxfId="1960" priority="22">
      <formula>Q7&lt;0</formula>
    </cfRule>
  </conditionalFormatting>
  <conditionalFormatting sqref="Q8">
    <cfRule type="expression" dxfId="1959" priority="19">
      <formula>Q8&gt;0</formula>
    </cfRule>
    <cfRule type="expression" dxfId="1958" priority="20">
      <formula>Q8&lt;0</formula>
    </cfRule>
  </conditionalFormatting>
  <conditionalFormatting sqref="F73:F82">
    <cfRule type="expression" dxfId="1957" priority="17">
      <formula>F73&gt;0</formula>
    </cfRule>
    <cfRule type="expression" dxfId="1956" priority="18">
      <formula>F73&lt;0</formula>
    </cfRule>
  </conditionalFormatting>
  <conditionalFormatting sqref="H73:H76">
    <cfRule type="expression" dxfId="1955" priority="15">
      <formula>H73&gt;0</formula>
    </cfRule>
    <cfRule type="expression" dxfId="1954" priority="16">
      <formula>H73&lt;0</formula>
    </cfRule>
  </conditionalFormatting>
  <conditionalFormatting sqref="F69:F72">
    <cfRule type="expression" dxfId="1953" priority="13">
      <formula>F69&gt;0</formula>
    </cfRule>
    <cfRule type="expression" dxfId="1952" priority="14">
      <formula>F69&lt;0</formula>
    </cfRule>
  </conditionalFormatting>
  <conditionalFormatting sqref="H69:H72">
    <cfRule type="expression" dxfId="1951" priority="11">
      <formula>H69&gt;0</formula>
    </cfRule>
    <cfRule type="expression" dxfId="1950" priority="12">
      <formula>H69&lt;0</formula>
    </cfRule>
  </conditionalFormatting>
  <conditionalFormatting sqref="I73:I76">
    <cfRule type="expression" dxfId="1949" priority="9">
      <formula>I73&gt;0</formula>
    </cfRule>
    <cfRule type="expression" dxfId="1948" priority="10">
      <formula>I73&lt;0</formula>
    </cfRule>
  </conditionalFormatting>
  <conditionalFormatting sqref="I69:I72">
    <cfRule type="expression" dxfId="1947" priority="7">
      <formula>I69&gt;0</formula>
    </cfRule>
    <cfRule type="expression" dxfId="1946" priority="8">
      <formula>I69&lt;0</formula>
    </cfRule>
  </conditionalFormatting>
  <conditionalFormatting sqref="H77">
    <cfRule type="expression" dxfId="1945" priority="5">
      <formula>H77&gt;0</formula>
    </cfRule>
    <cfRule type="expression" dxfId="1944" priority="6">
      <formula>H77&lt;0</formula>
    </cfRule>
  </conditionalFormatting>
  <conditionalFormatting sqref="H78">
    <cfRule type="expression" dxfId="1943" priority="3">
      <formula>H78&gt;0</formula>
    </cfRule>
    <cfRule type="expression" dxfId="1942" priority="4">
      <formula>H78&lt;0</formula>
    </cfRule>
  </conditionalFormatting>
  <conditionalFormatting sqref="H79">
    <cfRule type="expression" dxfId="1941" priority="1">
      <formula>H79&gt;0</formula>
    </cfRule>
    <cfRule type="expression" dxfId="194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40.33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40.33</v>
      </c>
      <c r="R4" s="504">
        <v>-4.2000000000000003E-2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802" t="s">
        <v>78</v>
      </c>
      <c r="P42" s="80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44.363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43.959699999999998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43.556400000000004</v>
      </c>
      <c r="Q45" s="2"/>
      <c r="T45" s="106" t="s">
        <v>99</v>
      </c>
      <c r="U45" s="359" t="s">
        <v>593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43.153100000000002</v>
      </c>
      <c r="Q46" s="2"/>
      <c r="T46" s="106" t="s">
        <v>100</v>
      </c>
      <c r="U46" s="359" t="s">
        <v>594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42.7498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42.346499999999999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41.943199999999997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41.539899999999996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41.136600000000001</v>
      </c>
      <c r="Q51" s="2"/>
      <c r="T51" s="106" t="s">
        <v>104</v>
      </c>
      <c r="U51" s="359" t="s">
        <v>595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40.7333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40.33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39.926699999999997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39.523399999999995</v>
      </c>
      <c r="Q55" s="2"/>
      <c r="T55" s="106" t="s">
        <v>107</v>
      </c>
      <c r="U55" s="359" t="s">
        <v>596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39.120100000000001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38.716799999999999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38.313499999999998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37.910199999999996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37.506900000000002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37.1036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36.700299999999999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36.296999999999997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939" priority="29">
      <formula>N19&gt;0</formula>
    </cfRule>
    <cfRule type="expression" dxfId="193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937" priority="23">
      <formula>F22&gt;0</formula>
    </cfRule>
    <cfRule type="expression" dxfId="1936" priority="24">
      <formula>F22&lt;0</formula>
    </cfRule>
  </conditionalFormatting>
  <conditionalFormatting sqref="H22:H31">
    <cfRule type="expression" dxfId="1935" priority="21">
      <formula>H22&gt;0</formula>
    </cfRule>
    <cfRule type="expression" dxfId="1934" priority="22">
      <formula>H22&lt;0</formula>
    </cfRule>
  </conditionalFormatting>
  <conditionalFormatting sqref="I21:J31">
    <cfRule type="expression" dxfId="1933" priority="19">
      <formula>I21&gt;0</formula>
    </cfRule>
    <cfRule type="expression" dxfId="1932" priority="20">
      <formula>I21&lt;0</formula>
    </cfRule>
  </conditionalFormatting>
  <conditionalFormatting sqref="Q8">
    <cfRule type="expression" dxfId="1931" priority="11">
      <formula>Q8&gt;0</formula>
    </cfRule>
    <cfRule type="expression" dxfId="1930" priority="12">
      <formula>Q8&lt;0</formula>
    </cfRule>
  </conditionalFormatting>
  <conditionalFormatting sqref="Q7">
    <cfRule type="expression" dxfId="1929" priority="13">
      <formula>Q7&gt;0</formula>
    </cfRule>
    <cfRule type="expression" dxfId="1928" priority="14">
      <formula>Q7&lt;0</formula>
    </cfRule>
  </conditionalFormatting>
  <conditionalFormatting sqref="F56:F66">
    <cfRule type="expression" dxfId="1927" priority="9">
      <formula>F56&gt;0</formula>
    </cfRule>
    <cfRule type="expression" dxfId="1926" priority="10">
      <formula>F56&lt;0</formula>
    </cfRule>
  </conditionalFormatting>
  <conditionalFormatting sqref="H56:H66">
    <cfRule type="expression" dxfId="1925" priority="7">
      <formula>H56&gt;0</formula>
    </cfRule>
    <cfRule type="expression" dxfId="1924" priority="8">
      <formula>H56&lt;0</formula>
    </cfRule>
  </conditionalFormatting>
  <conditionalFormatting sqref="I56:I66">
    <cfRule type="expression" dxfId="1923" priority="5">
      <formula>I56&gt;0</formula>
    </cfRule>
    <cfRule type="expression" dxfId="1922" priority="6">
      <formula>I56&lt;0</formula>
    </cfRule>
  </conditionalFormatting>
  <conditionalFormatting sqref="F21">
    <cfRule type="expression" dxfId="1921" priority="3">
      <formula>F21&gt;0</formula>
    </cfRule>
    <cfRule type="expression" dxfId="1920" priority="4">
      <formula>F21&lt;0</formula>
    </cfRule>
  </conditionalFormatting>
  <conditionalFormatting sqref="H21">
    <cfRule type="expression" dxfId="1919" priority="1">
      <formula>H21&gt;0</formula>
    </cfRule>
    <cfRule type="expression" dxfId="191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 t="shared" ref="F2:F7" si="0"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150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59.34813333333333</v>
      </c>
      <c r="T3" s="1">
        <v>43112</v>
      </c>
      <c r="U3" t="s">
        <v>947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48.88</v>
      </c>
      <c r="R4" s="226">
        <v>-4.8500000000000001E-2</v>
      </c>
      <c r="T4" s="1">
        <v>43114</v>
      </c>
      <c r="U4" t="s">
        <v>945</v>
      </c>
      <c r="AB4" s="229"/>
      <c r="AE4" s="229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7332</v>
      </c>
      <c r="T5" s="1">
        <v>43117</v>
      </c>
      <c r="U5" t="s">
        <v>958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8902.2199999999993</v>
      </c>
      <c r="AB6" s="229"/>
      <c r="AE6" s="229"/>
    </row>
    <row r="7" spans="1:31" x14ac:dyDescent="0.25">
      <c r="B7" s="48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-412.350000000004</v>
      </c>
      <c r="R7">
        <v>100</v>
      </c>
      <c r="AB7" s="229"/>
      <c r="AE7" s="229"/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-1570.2199999999993</v>
      </c>
      <c r="T8" s="159">
        <v>43167</v>
      </c>
      <c r="U8" t="s">
        <v>946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-0.17638521627189616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2.5368248772504091E-2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3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4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5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300</v>
      </c>
      <c r="D22" s="14"/>
      <c r="E22" s="14"/>
      <c r="F22" s="18">
        <f>SUM(F2:F17)</f>
        <v>18130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150</v>
      </c>
      <c r="D23" s="349"/>
      <c r="E23" s="349"/>
      <c r="F23" s="350">
        <f>SumByColor($A$23,F2:F21)</f>
        <v>9037</v>
      </c>
      <c r="G23" s="349"/>
      <c r="H23" s="349">
        <f>SumByColor($A$23,H2:H21)</f>
        <v>150</v>
      </c>
      <c r="I23" s="349"/>
      <c r="J23" s="349"/>
      <c r="K23" s="350">
        <f>SumByColor($A$23,K2:K21)</f>
        <v>9197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7">
        <v>100</v>
      </c>
      <c r="D29" s="43">
        <v>65.33</v>
      </c>
      <c r="E29" s="39">
        <v>66.55</v>
      </c>
      <c r="F29" s="39">
        <f t="shared" ref="F29" si="1">C29*(E29-D29)</f>
        <v>121.99999999999989</v>
      </c>
      <c r="G29" s="39">
        <f t="shared" ref="G29" si="2">D29*C29</f>
        <v>6533</v>
      </c>
      <c r="H29" s="226">
        <f t="shared" ref="H29" si="3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10">
        <v>150</v>
      </c>
      <c r="D30" s="39">
        <v>65.013300000000001</v>
      </c>
      <c r="E30" s="39">
        <v>64.09</v>
      </c>
      <c r="F30" s="39">
        <f t="shared" ref="F30" si="4">C30*(E30-D30)</f>
        <v>-138.49499999999964</v>
      </c>
      <c r="G30" s="39">
        <f t="shared" ref="G30" si="5">D30*C30</f>
        <v>9751.9950000000008</v>
      </c>
      <c r="H30" s="226">
        <f t="shared" ref="H30" si="6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7">
        <v>100</v>
      </c>
      <c r="D31" s="43">
        <v>64.880799999999994</v>
      </c>
      <c r="E31" s="39">
        <v>65.28</v>
      </c>
      <c r="F31" s="39">
        <f t="shared" ref="F31" si="7">C31*(E31-D31)</f>
        <v>39.920000000000755</v>
      </c>
      <c r="G31" s="39">
        <f t="shared" ref="G31" si="8">D31*C31</f>
        <v>6488.079999999999</v>
      </c>
      <c r="H31" s="226">
        <f t="shared" ref="H31" si="9">(E31-D31)/D31</f>
        <v>6.1528217901136786E-3</v>
      </c>
      <c r="I31" s="197" t="s">
        <v>811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0">C32*(E32-D32)</f>
        <v>113.83999999999972</v>
      </c>
      <c r="G32" s="39">
        <f t="shared" ref="G32:G36" si="11">D32*C32</f>
        <v>3184.16</v>
      </c>
      <c r="H32" s="226">
        <f t="shared" ref="H32:H36" si="12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7">
        <v>100</v>
      </c>
      <c r="D33" s="43">
        <v>63.941600000000001</v>
      </c>
      <c r="E33" s="39">
        <v>65.5</v>
      </c>
      <c r="F33" s="39">
        <f t="shared" si="10"/>
        <v>155.83999999999989</v>
      </c>
      <c r="G33" s="39">
        <f t="shared" si="11"/>
        <v>6394.16</v>
      </c>
      <c r="H33" s="226">
        <f t="shared" si="12"/>
        <v>2.4372239668697671E-2</v>
      </c>
      <c r="I33" s="197" t="s">
        <v>813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0"/>
        <v>690.99999999999966</v>
      </c>
      <c r="G34" s="39">
        <f t="shared" si="11"/>
        <v>6394</v>
      </c>
      <c r="H34" s="226">
        <f t="shared" si="12"/>
        <v>0.10807006568658112</v>
      </c>
      <c r="I34" s="10"/>
      <c r="J34" s="39">
        <v>1849</v>
      </c>
    </row>
    <row r="35" spans="1:17" x14ac:dyDescent="0.25">
      <c r="B35" s="188">
        <v>43063</v>
      </c>
      <c r="C35" s="10">
        <v>150</v>
      </c>
      <c r="D35" s="39">
        <v>59.320099999999996</v>
      </c>
      <c r="E35" s="39">
        <v>49.8</v>
      </c>
      <c r="F35" s="39">
        <f t="shared" si="10"/>
        <v>-1428.0149999999999</v>
      </c>
      <c r="G35" s="39">
        <f t="shared" si="11"/>
        <v>8898.0149999999994</v>
      </c>
      <c r="H35" s="226">
        <f t="shared" si="12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7">
        <v>100</v>
      </c>
      <c r="D36" s="43">
        <v>62.6922</v>
      </c>
      <c r="E36" s="39">
        <v>52.38</v>
      </c>
      <c r="F36" s="39">
        <f t="shared" si="10"/>
        <v>-1031.2199999999998</v>
      </c>
      <c r="G36" s="39">
        <f t="shared" si="11"/>
        <v>6269.22</v>
      </c>
      <c r="H36" s="226">
        <f t="shared" si="12"/>
        <v>-0.16448936231301498</v>
      </c>
      <c r="I36" s="127" t="s">
        <v>826</v>
      </c>
      <c r="J36" s="39">
        <v>127</v>
      </c>
    </row>
    <row r="37" spans="1:17" x14ac:dyDescent="0.25">
      <c r="A37">
        <v>50</v>
      </c>
      <c r="B37" s="188">
        <v>43070</v>
      </c>
      <c r="C37" s="7">
        <v>100</v>
      </c>
      <c r="D37" s="43">
        <v>62.382199999999997</v>
      </c>
      <c r="E37" s="39">
        <v>51.99</v>
      </c>
      <c r="F37" s="39">
        <f t="shared" ref="F37:F38" si="13">C37*(E37-D37)</f>
        <v>-1039.2199999999996</v>
      </c>
      <c r="G37" s="39">
        <f t="shared" ref="G37:G38" si="14">D37*C37</f>
        <v>6238.2199999999993</v>
      </c>
      <c r="H37" s="226">
        <f t="shared" ref="H37:H38" si="15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3"/>
        <v>-709.00000000000034</v>
      </c>
      <c r="G38" s="39">
        <f t="shared" si="14"/>
        <v>6238</v>
      </c>
      <c r="H38" s="226">
        <f t="shared" si="15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3" si="16">C39*(E39-D39)</f>
        <v>-545.00000000000023</v>
      </c>
      <c r="G39" s="39">
        <f t="shared" ref="G39:G43" si="17">D39*C39</f>
        <v>6238</v>
      </c>
      <c r="H39" s="226">
        <f t="shared" ref="H39:H43" si="18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6"/>
        <v>-731.00000000000023</v>
      </c>
      <c r="G40" s="39">
        <f t="shared" si="17"/>
        <v>6238</v>
      </c>
      <c r="H40" s="226">
        <f t="shared" si="18"/>
        <v>-0.11718499519076631</v>
      </c>
      <c r="I40" s="10"/>
      <c r="J40" s="39">
        <v>427</v>
      </c>
      <c r="O40" s="81">
        <v>1.1000000000000001</v>
      </c>
      <c r="P40" s="81">
        <f>O40*$Q$4</f>
        <v>53.768000000000008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6"/>
        <v>-510.00000000000011</v>
      </c>
      <c r="G41" s="39">
        <f t="shared" si="17"/>
        <v>6238</v>
      </c>
      <c r="H41" s="226">
        <f t="shared" si="18"/>
        <v>-8.1756973388906723E-2</v>
      </c>
      <c r="I41" s="10"/>
      <c r="J41" s="39">
        <v>648</v>
      </c>
      <c r="O41" s="81">
        <v>1.0900000000000001</v>
      </c>
      <c r="P41" s="81">
        <f t="shared" ref="P41:P60" si="19">O41*$Q$4</f>
        <v>53.27920000000001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6"/>
        <v>-646.00000000000011</v>
      </c>
      <c r="G42" s="39">
        <f t="shared" si="17"/>
        <v>6238</v>
      </c>
      <c r="H42" s="226">
        <f t="shared" si="18"/>
        <v>-0.10355883295928182</v>
      </c>
      <c r="I42" s="10"/>
      <c r="J42" s="39">
        <v>512</v>
      </c>
      <c r="O42" s="81">
        <v>1.08</v>
      </c>
      <c r="P42" s="81">
        <f t="shared" si="19"/>
        <v>52.790400000000005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6"/>
        <v>-973.19999999999993</v>
      </c>
      <c r="G43" s="39">
        <f t="shared" si="17"/>
        <v>8902.2000000000007</v>
      </c>
      <c r="H43" s="226">
        <f t="shared" si="18"/>
        <v>-0.10932129136617914</v>
      </c>
      <c r="I43" s="10"/>
      <c r="J43" s="39">
        <v>185</v>
      </c>
      <c r="O43" s="81">
        <v>1.07</v>
      </c>
      <c r="P43" s="81">
        <f t="shared" si="19"/>
        <v>52.301600000000008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10"/>
      <c r="J44" s="39"/>
      <c r="O44" s="81">
        <v>1.06</v>
      </c>
      <c r="P44" s="81">
        <f t="shared" si="19"/>
        <v>51.812800000000003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9"/>
        <v>51.324000000000005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9"/>
        <v>50.835200000000007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9"/>
        <v>50.346400000000003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9"/>
        <v>49.857600000000005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9"/>
        <v>49.3688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9"/>
        <v>48.88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9"/>
        <v>48.391200000000005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9"/>
        <v>47.9024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9"/>
        <v>47.413600000000002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9"/>
        <v>46.924799999999998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9"/>
        <v>46.436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9"/>
        <v>45.947200000000002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9"/>
        <v>45.458400000000005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9"/>
        <v>44.969600000000007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9"/>
        <v>44.480800000000002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9"/>
        <v>43.992000000000004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20">C75*(E75-D75)</f>
        <v>15.999999999999943</v>
      </c>
      <c r="G75" s="372">
        <f t="shared" ref="G75:G83" si="21">D75*C75</f>
        <v>1924</v>
      </c>
      <c r="H75" s="373">
        <f t="shared" ref="H75:H83" si="22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20"/>
        <v>50.600000000000023</v>
      </c>
      <c r="G76" s="372">
        <f t="shared" si="21"/>
        <v>1924</v>
      </c>
      <c r="H76" s="373">
        <f t="shared" si="22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20"/>
        <v>-176.20199999999988</v>
      </c>
      <c r="G77" s="372">
        <f t="shared" si="21"/>
        <v>4063.752</v>
      </c>
      <c r="H77" s="373">
        <f t="shared" si="22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20"/>
        <v>-51.239999999999952</v>
      </c>
      <c r="G78" s="372">
        <f t="shared" si="21"/>
        <v>2283.9899999999998</v>
      </c>
      <c r="H78" s="373">
        <f t="shared" si="22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20"/>
        <v>-146.2399999999999</v>
      </c>
      <c r="G79" s="372">
        <f t="shared" si="21"/>
        <v>2283.9899999999998</v>
      </c>
      <c r="H79" s="373">
        <f t="shared" si="22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20"/>
        <v>-159.23999999999978</v>
      </c>
      <c r="G80" s="372">
        <f t="shared" si="21"/>
        <v>4352.74</v>
      </c>
      <c r="H80" s="373">
        <f t="shared" si="22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20"/>
        <v>-37.790000000000035</v>
      </c>
      <c r="G81" s="372">
        <f t="shared" si="21"/>
        <v>2188.04</v>
      </c>
      <c r="H81" s="373">
        <f t="shared" si="22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20"/>
        <v>-137.54000000000025</v>
      </c>
      <c r="G82" s="372">
        <f t="shared" si="21"/>
        <v>2188.04</v>
      </c>
      <c r="H82" s="373">
        <f t="shared" si="22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20"/>
        <v>-167.54249999999934</v>
      </c>
      <c r="G83" s="372">
        <f t="shared" si="21"/>
        <v>6112.0424999999996</v>
      </c>
      <c r="H83" s="373">
        <f t="shared" si="22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3">C84*(E84-D84)</f>
        <v>-58.042499999999819</v>
      </c>
      <c r="G84" s="372">
        <f t="shared" ref="G84:G96" si="24">D84*C84</f>
        <v>6112.0424999999996</v>
      </c>
      <c r="H84" s="373">
        <f t="shared" ref="H84:H96" si="25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3"/>
        <v>195.77249999999998</v>
      </c>
      <c r="G85" s="372">
        <f t="shared" si="24"/>
        <v>4432.4775</v>
      </c>
      <c r="H85" s="373">
        <f t="shared" si="25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3"/>
        <v>38.472500000000025</v>
      </c>
      <c r="G86" s="372">
        <f t="shared" si="24"/>
        <v>4432.4775</v>
      </c>
      <c r="H86" s="373">
        <f t="shared" si="25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3"/>
        <v>466.37249999999932</v>
      </c>
      <c r="G87" s="372">
        <f t="shared" si="24"/>
        <v>4432.4775</v>
      </c>
      <c r="H87" s="373">
        <f t="shared" si="25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3"/>
        <v>536.22249999999985</v>
      </c>
      <c r="G88" s="372">
        <f t="shared" si="24"/>
        <v>4432.4775</v>
      </c>
      <c r="H88" s="373">
        <f t="shared" si="25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3"/>
        <v>640.51000000000045</v>
      </c>
      <c r="G89" s="372">
        <f t="shared" si="24"/>
        <v>3972.49</v>
      </c>
      <c r="H89" s="373">
        <f t="shared" si="25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3"/>
        <v>547.01000000000022</v>
      </c>
      <c r="G90" s="372">
        <f t="shared" si="24"/>
        <v>3972.49</v>
      </c>
      <c r="H90" s="373">
        <f t="shared" si="25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3"/>
        <v>505.01000000000005</v>
      </c>
      <c r="G91" s="372">
        <f t="shared" si="24"/>
        <v>3972.49</v>
      </c>
      <c r="H91" s="373">
        <f t="shared" si="25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3"/>
        <v>400.50999999999988</v>
      </c>
      <c r="G92" s="372">
        <f t="shared" si="24"/>
        <v>3972.49</v>
      </c>
      <c r="H92" s="373">
        <f t="shared" si="25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3"/>
        <v>504.01000000000022</v>
      </c>
      <c r="G93" s="372">
        <f t="shared" si="24"/>
        <v>3972.49</v>
      </c>
      <c r="H93" s="373">
        <f t="shared" si="25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3"/>
        <v>470.51000000000016</v>
      </c>
      <c r="G94" s="372">
        <f t="shared" si="24"/>
        <v>3972.49</v>
      </c>
      <c r="H94" s="373">
        <f t="shared" si="25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3"/>
        <v>500.50999999999988</v>
      </c>
      <c r="G95" s="372">
        <f t="shared" si="24"/>
        <v>3972.49</v>
      </c>
      <c r="H95" s="373">
        <f t="shared" si="25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3"/>
        <v>413.46899999999977</v>
      </c>
      <c r="G96" s="372">
        <f t="shared" si="24"/>
        <v>2218.1310000000003</v>
      </c>
      <c r="H96" s="373">
        <f t="shared" si="25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6">C100*(E100-D100)</f>
        <v>42.500000000000071</v>
      </c>
      <c r="G100" s="372">
        <f t="shared" ref="G100:G116" si="27">D100*C100</f>
        <v>1973.75</v>
      </c>
      <c r="H100" s="373">
        <f t="shared" ref="H100:H116" si="28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6"/>
        <v>30.750000000000099</v>
      </c>
      <c r="G101" s="372">
        <f t="shared" si="27"/>
        <v>1973.75</v>
      </c>
      <c r="H101" s="373">
        <f t="shared" si="28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6"/>
        <v>75.750000000000028</v>
      </c>
      <c r="G102" s="372">
        <f t="shared" si="27"/>
        <v>1973.75</v>
      </c>
      <c r="H102" s="373">
        <f t="shared" si="28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6"/>
        <v>53.749999999999787</v>
      </c>
      <c r="G103" s="372">
        <f t="shared" si="27"/>
        <v>1973.75</v>
      </c>
      <c r="H103" s="373">
        <f t="shared" si="28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6"/>
        <v>88.250000000000028</v>
      </c>
      <c r="G104" s="372">
        <f t="shared" si="27"/>
        <v>1973.75</v>
      </c>
      <c r="H104" s="373">
        <f t="shared" si="28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6"/>
        <v>70.499999999999829</v>
      </c>
      <c r="G105" s="372">
        <f t="shared" si="27"/>
        <v>1973.75</v>
      </c>
      <c r="H105" s="373">
        <f t="shared" si="28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6"/>
        <v>-51.249999999999929</v>
      </c>
      <c r="G106" s="372">
        <f t="shared" si="27"/>
        <v>1973.75</v>
      </c>
      <c r="H106" s="373">
        <f t="shared" si="28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6"/>
        <v>-29.500000000000171</v>
      </c>
      <c r="G107" s="372">
        <f t="shared" si="27"/>
        <v>1973.75</v>
      </c>
      <c r="H107" s="373">
        <f t="shared" si="28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6"/>
        <v>-85.750000000000171</v>
      </c>
      <c r="G108" s="372">
        <f t="shared" si="27"/>
        <v>1973.75</v>
      </c>
      <c r="H108" s="373">
        <f t="shared" si="28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6"/>
        <v>-42.000000000000171</v>
      </c>
      <c r="G109" s="372">
        <f t="shared" si="27"/>
        <v>1973.75</v>
      </c>
      <c r="H109" s="373">
        <f t="shared" si="28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6"/>
        <v>0.49999999999990052</v>
      </c>
      <c r="G110" s="372">
        <f t="shared" si="27"/>
        <v>1973.75</v>
      </c>
      <c r="H110" s="373">
        <f t="shared" si="28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6"/>
        <v>-4.9500000000001876</v>
      </c>
      <c r="G111" s="372">
        <f t="shared" si="27"/>
        <v>4202</v>
      </c>
      <c r="H111" s="373">
        <f t="shared" si="28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6"/>
        <v>-102.99849999999971</v>
      </c>
      <c r="G112" s="372">
        <f t="shared" si="27"/>
        <v>4202.1484999999993</v>
      </c>
      <c r="H112" s="373">
        <f t="shared" si="28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6"/>
        <v>-37.548499999999834</v>
      </c>
      <c r="G113" s="372">
        <f t="shared" si="27"/>
        <v>4202.1484999999993</v>
      </c>
      <c r="H113" s="373">
        <f t="shared" si="28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6"/>
        <v>77.951499999999854</v>
      </c>
      <c r="G114" s="372">
        <f t="shared" si="27"/>
        <v>4202.1484999999993</v>
      </c>
      <c r="H114" s="373">
        <f t="shared" si="28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6"/>
        <v>214.71000000000032</v>
      </c>
      <c r="G115" s="372">
        <f t="shared" si="27"/>
        <v>2228.19</v>
      </c>
      <c r="H115" s="373">
        <f t="shared" si="28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6"/>
        <v>173.90999999999991</v>
      </c>
      <c r="G116" s="372">
        <f t="shared" si="27"/>
        <v>2228.19</v>
      </c>
      <c r="H116" s="373">
        <f t="shared" si="28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9">C120*(E120-D120)</f>
        <v>86.700000000000017</v>
      </c>
      <c r="G120" s="39">
        <f t="shared" ref="G120:G150" si="30">D120*C120</f>
        <v>2454.3000000000002</v>
      </c>
      <c r="H120" s="226">
        <f t="shared" ref="H120:H150" si="3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9"/>
        <v>-15.500000000000114</v>
      </c>
      <c r="G121" s="39">
        <f t="shared" si="30"/>
        <v>4054.5</v>
      </c>
      <c r="H121" s="226">
        <f t="shared" si="3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9"/>
        <v>25.449999999999875</v>
      </c>
      <c r="G122" s="39">
        <f t="shared" si="30"/>
        <v>1606.55</v>
      </c>
      <c r="H122" s="226">
        <f t="shared" si="31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9"/>
        <v>5.5499999999994998</v>
      </c>
      <c r="G123" s="39">
        <f t="shared" si="30"/>
        <v>4032.9500000000003</v>
      </c>
      <c r="H123" s="226">
        <f t="shared" si="31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9"/>
        <v>116.0499999999999</v>
      </c>
      <c r="G124" s="39">
        <f t="shared" si="30"/>
        <v>4032.9500000000003</v>
      </c>
      <c r="H124" s="226">
        <f t="shared" si="31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9"/>
        <v>-132.6975000000001</v>
      </c>
      <c r="G125" s="39">
        <f t="shared" si="30"/>
        <v>5957.9475000000002</v>
      </c>
      <c r="H125" s="226">
        <f t="shared" si="31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9"/>
        <v>-433.19999999999936</v>
      </c>
      <c r="G126" s="39">
        <f t="shared" si="30"/>
        <v>7839.2</v>
      </c>
      <c r="H126" s="226">
        <f t="shared" si="31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9"/>
        <v>-672.44999999999959</v>
      </c>
      <c r="G127" s="39">
        <f t="shared" si="30"/>
        <v>9666.2000000000007</v>
      </c>
      <c r="H127" s="226">
        <f t="shared" si="31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9"/>
        <v>-464.95</v>
      </c>
      <c r="G128" s="39">
        <f t="shared" si="30"/>
        <v>9666.2000000000007</v>
      </c>
      <c r="H128" s="226">
        <f t="shared" si="31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9"/>
        <v>-2331.2099999999973</v>
      </c>
      <c r="G129" s="39">
        <f t="shared" si="30"/>
        <v>21408.21</v>
      </c>
      <c r="H129" s="226">
        <f t="shared" si="31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9"/>
        <v>-1931.1900000000023</v>
      </c>
      <c r="G130" s="39">
        <f t="shared" si="30"/>
        <v>21395.190000000002</v>
      </c>
      <c r="H130" s="226">
        <f t="shared" si="3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9"/>
        <v>-1715.1900000000026</v>
      </c>
      <c r="G131" s="39">
        <f t="shared" si="30"/>
        <v>21395.190000000002</v>
      </c>
      <c r="H131" s="226">
        <f t="shared" si="3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9"/>
        <v>-433.36000000000183</v>
      </c>
      <c r="G132" s="39">
        <f t="shared" si="30"/>
        <v>14437.36</v>
      </c>
      <c r="H132" s="226">
        <f t="shared" si="3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9"/>
        <v>-406.13999999999851</v>
      </c>
      <c r="G133" s="39">
        <f t="shared" si="30"/>
        <v>12622.89</v>
      </c>
      <c r="H133" s="226">
        <f t="shared" si="3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9"/>
        <v>-753.90000000000157</v>
      </c>
      <c r="G134" s="39">
        <f t="shared" si="30"/>
        <v>14319.900000000001</v>
      </c>
      <c r="H134" s="226">
        <f t="shared" si="3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9"/>
        <v>-647.90000000000134</v>
      </c>
      <c r="G135" s="39">
        <f t="shared" si="30"/>
        <v>14319.900000000001</v>
      </c>
      <c r="H135" s="226">
        <f t="shared" si="3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9"/>
        <v>-387.90000000000191</v>
      </c>
      <c r="G136" s="39">
        <f t="shared" si="30"/>
        <v>14319.900000000001</v>
      </c>
      <c r="H136" s="226">
        <f t="shared" si="3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9"/>
        <v>-1317.9999999999977</v>
      </c>
      <c r="G137" s="39">
        <f t="shared" si="30"/>
        <v>14319.999999999998</v>
      </c>
      <c r="H137" s="226">
        <f t="shared" si="3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9"/>
        <v>-1793.9999999999991</v>
      </c>
      <c r="G138" s="39">
        <f t="shared" si="30"/>
        <v>20706</v>
      </c>
      <c r="H138" s="226">
        <f t="shared" si="3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9"/>
        <v>-2171.6799999999994</v>
      </c>
      <c r="G139" s="39">
        <f t="shared" si="30"/>
        <v>23759.68</v>
      </c>
      <c r="H139" s="226">
        <f t="shared" si="3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9"/>
        <v>-5398.6800000000021</v>
      </c>
      <c r="G140" s="39">
        <f t="shared" si="30"/>
        <v>26362.68</v>
      </c>
      <c r="H140" s="226">
        <f t="shared" si="3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9"/>
        <v>-3573.2549999999997</v>
      </c>
      <c r="G141" s="39">
        <f t="shared" si="30"/>
        <v>23512.755000000001</v>
      </c>
      <c r="H141" s="226">
        <f t="shared" si="3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9"/>
        <v>-1277.4999999999982</v>
      </c>
      <c r="G142" s="39">
        <f t="shared" si="30"/>
        <v>17087.5</v>
      </c>
      <c r="H142" s="226">
        <f t="shared" si="3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9"/>
        <v>-2386.8899999999976</v>
      </c>
      <c r="G143" s="39">
        <f t="shared" si="30"/>
        <v>20050.89</v>
      </c>
      <c r="H143" s="226">
        <f t="shared" si="3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9"/>
        <v>-3362.4150000000009</v>
      </c>
      <c r="G144" s="39">
        <f t="shared" si="30"/>
        <v>22839.915000000001</v>
      </c>
      <c r="H144" s="226">
        <f t="shared" si="3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9"/>
        <v>-790.99999999999932</v>
      </c>
      <c r="G145" s="39">
        <f t="shared" si="30"/>
        <v>22729</v>
      </c>
      <c r="H145" s="226">
        <f t="shared" si="3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9"/>
        <v>-712.59999999999798</v>
      </c>
      <c r="G146" s="39">
        <f t="shared" si="30"/>
        <v>22650.6</v>
      </c>
      <c r="H146" s="226">
        <f t="shared" si="3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9"/>
        <v>-124.59999999999809</v>
      </c>
      <c r="G147" s="39">
        <f t="shared" si="30"/>
        <v>22650.6</v>
      </c>
      <c r="H147" s="226">
        <f t="shared" si="3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9"/>
        <v>196.21999999999957</v>
      </c>
      <c r="G148" s="39">
        <f t="shared" si="30"/>
        <v>12843.78</v>
      </c>
      <c r="H148" s="226">
        <f t="shared" si="3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9"/>
        <v>457.99999999999983</v>
      </c>
      <c r="G149" s="39">
        <f t="shared" si="30"/>
        <v>6166</v>
      </c>
      <c r="H149" s="226">
        <f t="shared" si="3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9"/>
        <v>283.05999999999898</v>
      </c>
      <c r="G150" s="39">
        <f t="shared" si="30"/>
        <v>12698.94</v>
      </c>
      <c r="H150" s="226">
        <f t="shared" si="3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4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5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4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5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4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5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4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5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4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5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4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5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4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5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4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5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4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5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4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4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4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4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4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4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4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917" priority="54">
      <formula>N23&gt;0</formula>
    </cfRule>
    <cfRule type="expression" dxfId="1916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915" priority="48">
      <formula>F79&gt;0</formula>
    </cfRule>
    <cfRule type="expression" dxfId="1914" priority="49">
      <formula>F79&lt;0</formula>
    </cfRule>
  </conditionalFormatting>
  <conditionalFormatting sqref="H79:H97 H101:H118">
    <cfRule type="expression" dxfId="1913" priority="46">
      <formula>H79&gt;0</formula>
    </cfRule>
    <cfRule type="expression" dxfId="1912" priority="47">
      <formula>H79&lt;0</formula>
    </cfRule>
  </conditionalFormatting>
  <conditionalFormatting sqref="I75:I97 I100:I118">
    <cfRule type="expression" dxfId="1911" priority="44">
      <formula>I75&gt;0</formula>
    </cfRule>
    <cfRule type="expression" dxfId="1910" priority="45">
      <formula>I75&lt;0</formula>
    </cfRule>
  </conditionalFormatting>
  <conditionalFormatting sqref="Q7">
    <cfRule type="expression" dxfId="1909" priority="42">
      <formula>Q7&gt;0</formula>
    </cfRule>
    <cfRule type="expression" dxfId="1908" priority="43">
      <formula>Q7&lt;0</formula>
    </cfRule>
  </conditionalFormatting>
  <conditionalFormatting sqref="Q8">
    <cfRule type="expression" dxfId="1907" priority="40">
      <formula>Q8&gt;0</formula>
    </cfRule>
    <cfRule type="expression" dxfId="1906" priority="41">
      <formula>Q8&lt;0</formula>
    </cfRule>
  </conditionalFormatting>
  <conditionalFormatting sqref="F75:F78">
    <cfRule type="expression" dxfId="1905" priority="38">
      <formula>F75&gt;0</formula>
    </cfRule>
    <cfRule type="expression" dxfId="1904" priority="39">
      <formula>F75&lt;0</formula>
    </cfRule>
  </conditionalFormatting>
  <conditionalFormatting sqref="H75:H78">
    <cfRule type="expression" dxfId="1903" priority="36">
      <formula>H75&gt;0</formula>
    </cfRule>
    <cfRule type="expression" dxfId="1902" priority="37">
      <formula>H75&lt;0</formula>
    </cfRule>
  </conditionalFormatting>
  <conditionalFormatting sqref="F100:F114">
    <cfRule type="expression" dxfId="1901" priority="30">
      <formula>F100&gt;0</formula>
    </cfRule>
    <cfRule type="expression" dxfId="1900" priority="31">
      <formula>F100&lt;0</formula>
    </cfRule>
  </conditionalFormatting>
  <conditionalFormatting sqref="H100:H114">
    <cfRule type="expression" dxfId="1899" priority="28">
      <formula>H100&gt;0</formula>
    </cfRule>
    <cfRule type="expression" dxfId="1898" priority="29">
      <formula>H100&lt;0</formula>
    </cfRule>
  </conditionalFormatting>
  <conditionalFormatting sqref="F29:F61">
    <cfRule type="expression" dxfId="1897" priority="26">
      <formula>F29&gt;0</formula>
    </cfRule>
    <cfRule type="expression" dxfId="1896" priority="27">
      <formula>F29&lt;0</formula>
    </cfRule>
  </conditionalFormatting>
  <conditionalFormatting sqref="H29:H61">
    <cfRule type="expression" dxfId="1895" priority="24">
      <formula>H29&gt;0</formula>
    </cfRule>
    <cfRule type="expression" dxfId="1894" priority="25">
      <formula>H29&lt;0</formula>
    </cfRule>
  </conditionalFormatting>
  <conditionalFormatting sqref="J38:J68">
    <cfRule type="expression" dxfId="1893" priority="22">
      <formula>J38&gt;0</formula>
    </cfRule>
    <cfRule type="expression" dxfId="1892" priority="23">
      <formula>J38&lt;0</formula>
    </cfRule>
  </conditionalFormatting>
  <conditionalFormatting sqref="J43">
    <cfRule type="expression" dxfId="1891" priority="20">
      <formula>J43&gt;0</formula>
    </cfRule>
    <cfRule type="expression" dxfId="1890" priority="21">
      <formula>J43&lt;0</formula>
    </cfRule>
  </conditionalFormatting>
  <conditionalFormatting sqref="Q9">
    <cfRule type="expression" dxfId="1889" priority="14">
      <formula>Q9&gt;0</formula>
    </cfRule>
    <cfRule type="expression" dxfId="1888" priority="15">
      <formula>Q9&lt;0</formula>
    </cfRule>
  </conditionalFormatting>
  <conditionalFormatting sqref="R4">
    <cfRule type="expression" dxfId="1887" priority="16">
      <formula>R4&gt;0</formula>
    </cfRule>
    <cfRule type="expression" dxfId="1886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885" priority="11">
      <formula>F120&gt;0</formula>
    </cfRule>
    <cfRule type="expression" dxfId="1884" priority="12">
      <formula>F120&lt;0</formula>
    </cfRule>
  </conditionalFormatting>
  <conditionalFormatting sqref="H120:H160">
    <cfRule type="expression" dxfId="1883" priority="9">
      <formula>H120&gt;0</formula>
    </cfRule>
    <cfRule type="expression" dxfId="1882" priority="10">
      <formula>H120&lt;0</formula>
    </cfRule>
  </conditionalFormatting>
  <conditionalFormatting sqref="J129:J160">
    <cfRule type="expression" dxfId="1881" priority="7">
      <formula>J129&gt;0</formula>
    </cfRule>
    <cfRule type="expression" dxfId="1880" priority="8">
      <formula>J129&lt;0</formula>
    </cfRule>
  </conditionalFormatting>
  <conditionalFormatting sqref="J134">
    <cfRule type="expression" dxfId="1879" priority="5">
      <formula>J134&gt;0</formula>
    </cfRule>
    <cfRule type="expression" dxfId="1878" priority="6">
      <formula>J134&lt;0</formula>
    </cfRule>
  </conditionalFormatting>
  <conditionalFormatting sqref="J31:J40">
    <cfRule type="expression" dxfId="1877" priority="3">
      <formula>J31&gt;0</formula>
    </cfRule>
    <cfRule type="expression" dxfId="1876" priority="4">
      <formula>J31&lt;0</formula>
    </cfRule>
  </conditionalFormatting>
  <conditionalFormatting sqref="J36:J37">
    <cfRule type="expression" dxfId="1875" priority="1">
      <formula>J36&gt;0</formula>
    </cfRule>
    <cfRule type="expression" dxfId="1874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156.49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156.49</v>
      </c>
      <c r="R4" s="504">
        <v>-2.5000000000000001E-2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02" t="s">
        <v>78</v>
      </c>
      <c r="P42" s="802"/>
      <c r="T42" s="106" t="s">
        <v>99</v>
      </c>
      <c r="U42" s="359" t="s">
        <v>597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172.13900000000001</v>
      </c>
      <c r="Q43" s="2"/>
      <c r="T43" s="106" t="s">
        <v>100</v>
      </c>
      <c r="U43" s="359" t="s">
        <v>598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170.57410000000002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169.00920000000002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167.44430000000003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165.8794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164.31450000000001</v>
      </c>
      <c r="Q48" s="2"/>
      <c r="T48" s="106" t="s">
        <v>104</v>
      </c>
      <c r="U48" s="359" t="s">
        <v>599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162.74960000000002</v>
      </c>
      <c r="Q49" s="2"/>
      <c r="T49" s="106" t="s">
        <v>105</v>
      </c>
      <c r="U49" s="359" t="s">
        <v>600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161.18470000000002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159.6198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158.0549</v>
      </c>
      <c r="Q52" s="2"/>
      <c r="T52" s="106" t="s">
        <v>107</v>
      </c>
      <c r="U52" s="359" t="s">
        <v>601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156.49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154.92510000000001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153.36020000000002</v>
      </c>
      <c r="Q55" s="2"/>
      <c r="T55" s="106" t="s">
        <v>108</v>
      </c>
      <c r="U55" s="359" t="s">
        <v>552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151.7953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150.2304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148.66550000000001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147.10060000000001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145.53570000000002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143.97080000000003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142.4059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140.84100000000001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873" priority="35">
      <formula>N19&gt;0</formula>
    </cfRule>
    <cfRule type="expression" dxfId="187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871" priority="21">
      <formula>F25&gt;0</formula>
    </cfRule>
    <cfRule type="expression" dxfId="1870" priority="22">
      <formula>F25&lt;0</formula>
    </cfRule>
  </conditionalFormatting>
  <conditionalFormatting sqref="H25:H47">
    <cfRule type="expression" dxfId="1869" priority="19">
      <formula>H25&gt;0</formula>
    </cfRule>
    <cfRule type="expression" dxfId="1868" priority="20">
      <formula>H25&lt;0</formula>
    </cfRule>
  </conditionalFormatting>
  <conditionalFormatting sqref="I25:I27">
    <cfRule type="expression" dxfId="1867" priority="15">
      <formula>I25&gt;0</formula>
    </cfRule>
    <cfRule type="expression" dxfId="1866" priority="16">
      <formula>I25&lt;0</formula>
    </cfRule>
  </conditionalFormatting>
  <conditionalFormatting sqref="Q7">
    <cfRule type="expression" dxfId="1865" priority="5">
      <formula>Q7&gt;0</formula>
    </cfRule>
    <cfRule type="expression" dxfId="1864" priority="6">
      <formula>Q7&lt;0</formula>
    </cfRule>
  </conditionalFormatting>
  <conditionalFormatting sqref="Q8">
    <cfRule type="expression" dxfId="1863" priority="3">
      <formula>Q8&gt;0</formula>
    </cfRule>
    <cfRule type="expression" dxfId="186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92.01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92.01</v>
      </c>
      <c r="R4" s="487">
        <v>-4.8300000000000003E-2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101.21100000000001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100.29090000000001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99.370800000000017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98.450700000000012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97.530600000000007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96.610500000000016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95.690400000000011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94.770300000000006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93.850200000000001</v>
      </c>
      <c r="Q49" s="2"/>
      <c r="T49" s="91" t="s">
        <v>103</v>
      </c>
      <c r="U49" s="127" t="s">
        <v>532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92.93010000000001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92.01</v>
      </c>
      <c r="Q51" s="2"/>
      <c r="T51" s="91" t="s">
        <v>104</v>
      </c>
      <c r="U51" s="127" t="s">
        <v>602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91.0899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90.169800000000009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89.249700000000004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88.329599999999999</v>
      </c>
      <c r="T55" s="91" t="s">
        <v>107</v>
      </c>
      <c r="U55" s="127" t="s">
        <v>603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87.409499999999994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86.489400000000003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85.569300000000013</v>
      </c>
      <c r="T58" s="91" t="s">
        <v>108</v>
      </c>
      <c r="U58" s="127" t="s">
        <v>560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84.649200000000008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83.729100000000003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82.809000000000012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861" priority="9">
      <formula>F36&gt;0</formula>
    </cfRule>
    <cfRule type="expression" dxfId="1860" priority="10">
      <formula>F36&lt;0</formula>
    </cfRule>
  </conditionalFormatting>
  <conditionalFormatting sqref="F25:F35">
    <cfRule type="expression" dxfId="1859" priority="7">
      <formula>F25&gt;0</formula>
    </cfRule>
    <cfRule type="expression" dxfId="1858" priority="8">
      <formula>F25&lt;0</formula>
    </cfRule>
  </conditionalFormatting>
  <conditionalFormatting sqref="H25:H35">
    <cfRule type="expression" dxfId="1857" priority="5">
      <formula>H25&gt;0</formula>
    </cfRule>
    <cfRule type="expression" dxfId="1856" priority="6">
      <formula>H25&lt;0</formula>
    </cfRule>
  </conditionalFormatting>
  <conditionalFormatting sqref="Q7">
    <cfRule type="expression" dxfId="1855" priority="3">
      <formula>Q7&gt;0</formula>
    </cfRule>
    <cfRule type="expression" dxfId="1854" priority="4">
      <formula>Q7&lt;0</formula>
    </cfRule>
  </conditionalFormatting>
  <conditionalFormatting sqref="Q8">
    <cfRule type="expression" dxfId="1853" priority="1">
      <formula>Q8&gt;0</formula>
    </cfRule>
    <cfRule type="expression" dxfId="185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95.8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95.8</v>
      </c>
      <c r="R4" s="509">
        <v>-3.6600000000000001E-2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747</v>
      </c>
      <c r="P20" s="7" t="s">
        <v>748</v>
      </c>
      <c r="Q20" s="7" t="s">
        <v>749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750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751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752</v>
      </c>
      <c r="P23" s="7" t="s">
        <v>753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7" t="s">
        <v>734</v>
      </c>
      <c r="P24" s="7" t="s">
        <v>754</v>
      </c>
      <c r="Q24" s="7" t="s">
        <v>754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752</v>
      </c>
      <c r="P25" s="7" t="s">
        <v>755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756</v>
      </c>
      <c r="P26" s="7" t="s">
        <v>748</v>
      </c>
      <c r="Q26" s="7" t="s">
        <v>749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751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734</v>
      </c>
      <c r="P29" s="7" t="s">
        <v>754</v>
      </c>
      <c r="Q29" s="7" t="s">
        <v>754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757</v>
      </c>
      <c r="P30" s="7" t="s">
        <v>748</v>
      </c>
      <c r="Q30" s="7" t="s">
        <v>749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750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105.38000000000001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104.42200000000001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103.464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102.506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101.548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100.59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99.632000000000005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98.674000000000007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97.715999999999994</v>
      </c>
      <c r="Q49" s="2"/>
      <c r="T49" s="91" t="s">
        <v>121</v>
      </c>
      <c r="U49" s="127" t="s">
        <v>523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96.757999999999996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95.8</v>
      </c>
      <c r="Q51" s="2"/>
      <c r="T51" s="91" t="s">
        <v>104</v>
      </c>
      <c r="U51" s="127" t="s">
        <v>604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94.841999999999999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93.884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92.925999999999988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91.967999999999989</v>
      </c>
      <c r="T55" s="91" t="s">
        <v>107</v>
      </c>
      <c r="U55" s="127" t="s">
        <v>605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91.009999999999991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90.051999999999992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89.094000000000008</v>
      </c>
      <c r="T58" s="91" t="s">
        <v>108</v>
      </c>
      <c r="U58" s="127" t="s">
        <v>561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88.135999999999996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87.177999999999997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86.22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851" priority="37">
      <formula>F25&gt;0</formula>
    </cfRule>
    <cfRule type="expression" dxfId="1850" priority="38">
      <formula>F25&lt;0</formula>
    </cfRule>
  </conditionalFormatting>
  <conditionalFormatting sqref="Q7">
    <cfRule type="expression" dxfId="1849" priority="35">
      <formula>Q7&gt;0</formula>
    </cfRule>
    <cfRule type="expression" dxfId="1848" priority="36">
      <formula>Q7&lt;0</formula>
    </cfRule>
  </conditionalFormatting>
  <conditionalFormatting sqref="Q8">
    <cfRule type="expression" dxfId="1847" priority="33">
      <formula>Q8&gt;0</formula>
    </cfRule>
    <cfRule type="expression" dxfId="1846" priority="34">
      <formula>Q8&lt;0</formula>
    </cfRule>
  </conditionalFormatting>
  <conditionalFormatting sqref="F44:F46">
    <cfRule type="expression" dxfId="1845" priority="31">
      <formula>F44&gt;0</formula>
    </cfRule>
    <cfRule type="expression" dxfId="1844" priority="32">
      <formula>F44&lt;0</formula>
    </cfRule>
  </conditionalFormatting>
  <conditionalFormatting sqref="H44:H46">
    <cfRule type="expression" dxfId="1843" priority="29">
      <formula>H44&gt;0</formula>
    </cfRule>
    <cfRule type="expression" dxfId="1842" priority="30">
      <formula>H44&lt;0</formula>
    </cfRule>
  </conditionalFormatting>
  <conditionalFormatting sqref="F89:F110">
    <cfRule type="expression" dxfId="1841" priority="27">
      <formula>F89&gt;0</formula>
    </cfRule>
    <cfRule type="expression" dxfId="1840" priority="28">
      <formula>F89&lt;0</formula>
    </cfRule>
  </conditionalFormatting>
  <conditionalFormatting sqref="H89:H110">
    <cfRule type="expression" dxfId="1839" priority="25">
      <formula>H89&gt;0</formula>
    </cfRule>
    <cfRule type="expression" dxfId="1838" priority="26">
      <formula>H89&lt;0</formula>
    </cfRule>
  </conditionalFormatting>
  <conditionalFormatting sqref="Q10">
    <cfRule type="expression" dxfId="1837" priority="23">
      <formula>Q10&gt;0</formula>
    </cfRule>
    <cfRule type="expression" dxfId="1836" priority="24">
      <formula>Q10&lt;0</formula>
    </cfRule>
  </conditionalFormatting>
  <conditionalFormatting sqref="J25:J38">
    <cfRule type="expression" dxfId="1835" priority="21">
      <formula>J25&gt;0</formula>
    </cfRule>
    <cfRule type="expression" dxfId="1834" priority="22">
      <formula>J25&lt;0</formula>
    </cfRule>
  </conditionalFormatting>
  <conditionalFormatting sqref="K25:K38">
    <cfRule type="expression" dxfId="1833" priority="19">
      <formula>K25&gt;0</formula>
    </cfRule>
    <cfRule type="expression" dxfId="1832" priority="20">
      <formula>K25&lt;0</formula>
    </cfRule>
  </conditionalFormatting>
  <conditionalFormatting sqref="L25:L38">
    <cfRule type="expression" dxfId="1831" priority="17">
      <formula>L25&gt;0</formula>
    </cfRule>
    <cfRule type="expression" dxfId="1830" priority="18">
      <formula>L25&lt;0</formula>
    </cfRule>
  </conditionalFormatting>
  <conditionalFormatting sqref="J40">
    <cfRule type="expression" dxfId="1829" priority="15">
      <formula>J40&gt;0</formula>
    </cfRule>
    <cfRule type="expression" dxfId="1828" priority="16">
      <formula>J40&lt;0</formula>
    </cfRule>
  </conditionalFormatting>
  <conditionalFormatting sqref="L39">
    <cfRule type="expression" dxfId="1827" priority="11">
      <formula>L39&gt;0</formula>
    </cfRule>
    <cfRule type="expression" dxfId="1826" priority="12">
      <formula>L39&lt;0</formula>
    </cfRule>
  </conditionalFormatting>
  <conditionalFormatting sqref="F39">
    <cfRule type="expression" dxfId="1825" priority="9">
      <formula>F39&gt;0</formula>
    </cfRule>
    <cfRule type="expression" dxfId="1824" priority="10">
      <formula>F39&lt;0</formula>
    </cfRule>
  </conditionalFormatting>
  <conditionalFormatting sqref="H39">
    <cfRule type="expression" dxfId="1823" priority="7">
      <formula>H39&gt;0</formula>
    </cfRule>
    <cfRule type="expression" dxfId="1822" priority="8">
      <formula>H39&lt;0</formula>
    </cfRule>
  </conditionalFormatting>
  <conditionalFormatting sqref="J41">
    <cfRule type="expression" dxfId="1821" priority="5">
      <formula>J41&gt;0</formula>
    </cfRule>
    <cfRule type="expression" dxfId="1820" priority="6">
      <formula>J41&lt;0</formula>
    </cfRule>
  </conditionalFormatting>
  <conditionalFormatting sqref="J43">
    <cfRule type="expression" dxfId="1819" priority="3">
      <formula>J43&gt;0</formula>
    </cfRule>
    <cfRule type="expression" dxfId="1818" priority="4">
      <formula>J43&lt;0</formula>
    </cfRule>
  </conditionalFormatting>
  <conditionalFormatting sqref="J44">
    <cfRule type="expression" dxfId="1817" priority="1">
      <formula>J44&gt;0</formula>
    </cfRule>
    <cfRule type="expression" dxfId="181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31.37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31.37</v>
      </c>
      <c r="R4" s="487">
        <v>-4.6800000000000001E-2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02" t="s">
        <v>78</v>
      </c>
      <c r="Q39" s="802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34.507000000000005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34.193300000000001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33.879600000000003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33.565900000000006</v>
      </c>
      <c r="R43" s="81"/>
      <c r="T43" s="85" t="s">
        <v>100</v>
      </c>
      <c r="U43" s="127" t="s">
        <v>547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33.252200000000002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32.938500000000005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32.6248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32.311100000000003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31.997400000000003</v>
      </c>
      <c r="R48" s="81"/>
      <c r="T48" s="85" t="s">
        <v>104</v>
      </c>
      <c r="U48" s="127" t="s">
        <v>606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31.683700000000002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31.37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31.0563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30.742599999999999</v>
      </c>
      <c r="R52" s="81"/>
      <c r="T52" s="85" t="s">
        <v>107</v>
      </c>
      <c r="U52" s="127" t="s">
        <v>607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30.428899999999999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30.115200000000002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29.801500000000001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29.4878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29.174100000000003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28.860400000000002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28.546700000000001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28.233000000000001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815" priority="31">
      <formula>F29&gt;0</formula>
    </cfRule>
    <cfRule type="expression" dxfId="1814" priority="32">
      <formula>F29&lt;0</formula>
    </cfRule>
  </conditionalFormatting>
  <conditionalFormatting sqref="F29 F31:F35">
    <cfRule type="expression" dxfId="1813" priority="33">
      <formula>F29&gt;0</formula>
    </cfRule>
    <cfRule type="expression" dxfId="1812" priority="34">
      <formula>F29&lt;0</formula>
    </cfRule>
  </conditionalFormatting>
  <conditionalFormatting sqref="H29 H31:H35">
    <cfRule type="expression" dxfId="1811" priority="29">
      <formula>H29&gt;0</formula>
    </cfRule>
    <cfRule type="expression" dxfId="1810" priority="30">
      <formula>H29&lt;0</formula>
    </cfRule>
  </conditionalFormatting>
  <conditionalFormatting sqref="F21:F28">
    <cfRule type="expression" dxfId="1809" priority="27">
      <formula>F21&gt;0</formula>
    </cfRule>
    <cfRule type="expression" dxfId="1808" priority="28">
      <formula>F21&lt;0</formula>
    </cfRule>
  </conditionalFormatting>
  <conditionalFormatting sqref="H21:H28">
    <cfRule type="expression" dxfId="1807" priority="25">
      <formula>H21&gt;0</formula>
    </cfRule>
    <cfRule type="expression" dxfId="1806" priority="26">
      <formula>H21&lt;0</formula>
    </cfRule>
  </conditionalFormatting>
  <conditionalFormatting sqref="Q8">
    <cfRule type="expression" dxfId="1805" priority="21">
      <formula>Q8&gt;0</formula>
    </cfRule>
    <cfRule type="expression" dxfId="1804" priority="22">
      <formula>Q8&lt;0</formula>
    </cfRule>
  </conditionalFormatting>
  <conditionalFormatting sqref="Q7">
    <cfRule type="expression" dxfId="1803" priority="23">
      <formula>Q7&gt;0</formula>
    </cfRule>
    <cfRule type="expression" dxfId="1802" priority="24">
      <formula>Q7&lt;0</formula>
    </cfRule>
  </conditionalFormatting>
  <conditionalFormatting sqref="F30">
    <cfRule type="expression" dxfId="1801" priority="19">
      <formula>F30&gt;0</formula>
    </cfRule>
    <cfRule type="expression" dxfId="1800" priority="20">
      <formula>F30&lt;0</formula>
    </cfRule>
  </conditionalFormatting>
  <conditionalFormatting sqref="H30">
    <cfRule type="expression" dxfId="1799" priority="17">
      <formula>H30&gt;0</formula>
    </cfRule>
    <cfRule type="expression" dxfId="1798" priority="18">
      <formula>H30&lt;0</formula>
    </cfRule>
  </conditionalFormatting>
  <conditionalFormatting sqref="F68 F70:F74">
    <cfRule type="expression" dxfId="1797" priority="13">
      <formula>F68&gt;0</formula>
    </cfRule>
    <cfRule type="expression" dxfId="1796" priority="14">
      <formula>F68&lt;0</formula>
    </cfRule>
  </conditionalFormatting>
  <conditionalFormatting sqref="F68 F70:F74">
    <cfRule type="expression" dxfId="1795" priority="15">
      <formula>F68&gt;0</formula>
    </cfRule>
    <cfRule type="expression" dxfId="1794" priority="16">
      <formula>F68&lt;0</formula>
    </cfRule>
  </conditionalFormatting>
  <conditionalFormatting sqref="H68 H70:H74">
    <cfRule type="expression" dxfId="1793" priority="11">
      <formula>H68&gt;0</formula>
    </cfRule>
    <cfRule type="expression" dxfId="1792" priority="12">
      <formula>H68&lt;0</formula>
    </cfRule>
  </conditionalFormatting>
  <conditionalFormatting sqref="F60:F67">
    <cfRule type="expression" dxfId="1791" priority="9">
      <formula>F60&gt;0</formula>
    </cfRule>
    <cfRule type="expression" dxfId="1790" priority="10">
      <formula>F60&lt;0</formula>
    </cfRule>
  </conditionalFormatting>
  <conditionalFormatting sqref="H60:H67">
    <cfRule type="expression" dxfId="1789" priority="7">
      <formula>H60&gt;0</formula>
    </cfRule>
    <cfRule type="expression" dxfId="1788" priority="8">
      <formula>H60&lt;0</formula>
    </cfRule>
  </conditionalFormatting>
  <conditionalFormatting sqref="F69">
    <cfRule type="expression" dxfId="1787" priority="5">
      <formula>F69&gt;0</formula>
    </cfRule>
    <cfRule type="expression" dxfId="1786" priority="6">
      <formula>F69&lt;0</formula>
    </cfRule>
  </conditionalFormatting>
  <conditionalFormatting sqref="H69">
    <cfRule type="expression" dxfId="1785" priority="3">
      <formula>H69&gt;0</formula>
    </cfRule>
    <cfRule type="expression" dxfId="1784" priority="4">
      <formula>H69&lt;0</formula>
    </cfRule>
  </conditionalFormatting>
  <conditionalFormatting sqref="Q10">
    <cfRule type="expression" dxfId="1783" priority="1">
      <formula>Q10&gt;0</formula>
    </cfRule>
    <cfRule type="expression" dxfId="178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36.14</v>
      </c>
      <c r="R4" s="487">
        <v>-1.5800000000000002E-2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02" t="s">
        <v>78</v>
      </c>
      <c r="P40" s="80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608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36.14</v>
      </c>
      <c r="Q51" s="2"/>
      <c r="T51" s="91" t="s">
        <v>104</v>
      </c>
      <c r="U51" s="127" t="s">
        <v>609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553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34.694400000000002</v>
      </c>
      <c r="T55" s="91" t="s">
        <v>107</v>
      </c>
      <c r="U55" s="127" t="s">
        <v>610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33.610199999999999</v>
      </c>
      <c r="T58" s="91" t="s">
        <v>108</v>
      </c>
      <c r="U58" s="127" t="s">
        <v>554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781" priority="11">
      <formula>F33&gt;0</formula>
    </cfRule>
    <cfRule type="expression" dxfId="1780" priority="12">
      <formula>F33&lt;0</formula>
    </cfRule>
  </conditionalFormatting>
  <conditionalFormatting sqref="Q7">
    <cfRule type="expression" dxfId="1779" priority="9">
      <formula>Q7&gt;0</formula>
    </cfRule>
    <cfRule type="expression" dxfId="1778" priority="10">
      <formula>Q7&lt;0</formula>
    </cfRule>
  </conditionalFormatting>
  <conditionalFormatting sqref="Q8">
    <cfRule type="expression" dxfId="1777" priority="7">
      <formula>Q8&gt;0</formula>
    </cfRule>
    <cfRule type="expression" dxfId="1776" priority="8">
      <formula>Q8&lt;0</formula>
    </cfRule>
  </conditionalFormatting>
  <conditionalFormatting sqref="F25:F32">
    <cfRule type="expression" dxfId="1775" priority="5">
      <formula>F25&gt;0</formula>
    </cfRule>
    <cfRule type="expression" dxfId="1774" priority="6">
      <formula>F25&lt;0</formula>
    </cfRule>
  </conditionalFormatting>
  <conditionalFormatting sqref="H25:H32">
    <cfRule type="expression" dxfId="1773" priority="3">
      <formula>H25&gt;0</formula>
    </cfRule>
    <cfRule type="expression" dxfId="1772" priority="4">
      <formula>H25&lt;0</formula>
    </cfRule>
  </conditionalFormatting>
  <conditionalFormatting sqref="Q10">
    <cfRule type="expression" dxfId="1771" priority="1">
      <formula>Q10&gt;0</formula>
    </cfRule>
    <cfRule type="expression" dxfId="177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8">
        <f>IF(Q2=0, Q4, (F18-K18-M18)/Q2)</f>
        <v>13.059716666666667</v>
      </c>
      <c r="T3" s="582" t="s">
        <v>492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4">
        <v>10.5007</v>
      </c>
      <c r="R4" s="487">
        <v>-6.08E-2</v>
      </c>
      <c r="T4" s="159" t="s">
        <v>493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6300.42</v>
      </c>
      <c r="T5" t="s">
        <v>494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5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-251.99000000000524</v>
      </c>
      <c r="R7">
        <v>300</v>
      </c>
      <c r="T7" s="1">
        <v>43453</v>
      </c>
      <c r="U7" t="s">
        <v>901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-1535.4099999999999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-0.19594733423262117</v>
      </c>
      <c r="T9" s="29">
        <v>43103</v>
      </c>
      <c r="U9" t="s">
        <v>891</v>
      </c>
      <c r="X9" s="134"/>
    </row>
    <row r="10" spans="1:24" x14ac:dyDescent="0.25">
      <c r="A10" t="s">
        <v>842</v>
      </c>
      <c r="B10" s="445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892</v>
      </c>
      <c r="X10" s="134"/>
    </row>
    <row r="11" spans="1:24" x14ac:dyDescent="0.25">
      <c r="B11" s="445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893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902</v>
      </c>
      <c r="X13" s="134"/>
    </row>
    <row r="14" spans="1:24" x14ac:dyDescent="0.25">
      <c r="B14" s="48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02" t="s">
        <v>78</v>
      </c>
      <c r="P15" s="802"/>
      <c r="T15" s="1">
        <v>43114</v>
      </c>
      <c r="U15" t="s">
        <v>934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11.550770000000002</v>
      </c>
      <c r="U16" s="487" t="s">
        <v>935</v>
      </c>
      <c r="X16" s="134"/>
    </row>
    <row r="17" spans="1:24" x14ac:dyDescent="0.25">
      <c r="O17" s="81">
        <v>1.0900000000000001</v>
      </c>
      <c r="P17" s="81">
        <f t="shared" ref="P17:P21" si="4">O17*$Q$4</f>
        <v>11.445763000000001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4"/>
        <v>11.340756000000001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4"/>
        <v>11.235749</v>
      </c>
      <c r="X19" s="134"/>
    </row>
    <row r="20" spans="1:24" x14ac:dyDescent="0.25">
      <c r="O20" s="81">
        <v>1.06</v>
      </c>
      <c r="P20" s="81">
        <f t="shared" si="4"/>
        <v>11.130742000000001</v>
      </c>
      <c r="X20" s="134"/>
    </row>
    <row r="21" spans="1:24" x14ac:dyDescent="0.25">
      <c r="O21" s="81">
        <v>1.05</v>
      </c>
      <c r="P21" s="81">
        <f t="shared" si="4"/>
        <v>11.025735000000001</v>
      </c>
      <c r="X21" s="134"/>
    </row>
    <row r="22" spans="1:24" x14ac:dyDescent="0.25">
      <c r="O22" s="81">
        <v>1.04</v>
      </c>
      <c r="P22" s="81">
        <f>O22*$Q$4</f>
        <v>10.920728</v>
      </c>
      <c r="X22" s="134"/>
    </row>
    <row r="23" spans="1:24" x14ac:dyDescent="0.25">
      <c r="O23" s="81">
        <v>1.03</v>
      </c>
      <c r="P23" s="81">
        <f t="shared" ref="P23:P36" si="5">O23*$Q$4</f>
        <v>10.815721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516</v>
      </c>
      <c r="O24" s="81">
        <v>1.02</v>
      </c>
      <c r="P24" s="81">
        <f t="shared" si="5"/>
        <v>10.710714000000001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6">C25*(E25-D25)</f>
        <v>-13.499999999999979</v>
      </c>
      <c r="G25" s="39">
        <f t="shared" ref="G25" si="7">D25*C25</f>
        <v>2715</v>
      </c>
      <c r="H25" s="226">
        <f t="shared" ref="H25" si="8">(E25-D25)/D25</f>
        <v>-4.9723756906077266E-3</v>
      </c>
      <c r="I25" s="39"/>
      <c r="J25" s="39"/>
      <c r="K25" s="39"/>
      <c r="L25" s="4"/>
      <c r="O25" s="81">
        <v>1.01</v>
      </c>
      <c r="P25" s="81">
        <f t="shared" si="5"/>
        <v>10.605707000000001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9">C26*(E26-D26)</f>
        <v>-240.99999999999966</v>
      </c>
      <c r="G26" s="39">
        <f t="shared" ref="G26" si="10">D26*C26</f>
        <v>4368.5</v>
      </c>
      <c r="H26" s="226">
        <f t="shared" ref="H26" si="11">(E26-D26)/D26</f>
        <v>-5.5167677692571741E-2</v>
      </c>
      <c r="I26" s="39"/>
      <c r="J26" s="39"/>
      <c r="K26" s="39"/>
      <c r="L26" s="4"/>
      <c r="O26" s="81">
        <v>1</v>
      </c>
      <c r="P26" s="81">
        <f t="shared" si="5"/>
        <v>10.5007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2">C27*(E27-D27)</f>
        <v>-291.00000000000034</v>
      </c>
      <c r="G27" s="39">
        <f t="shared" ref="G27" si="13">D27*C27</f>
        <v>4368.5</v>
      </c>
      <c r="H27" s="226">
        <f t="shared" ref="H27" si="14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5"/>
        <v>10.395693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5">C28*(E28-D28)</f>
        <v>-143.52000000000018</v>
      </c>
      <c r="G28" s="39">
        <f t="shared" ref="G28:G30" si="16">D28*C28</f>
        <v>3523.52</v>
      </c>
      <c r="H28" s="226">
        <f t="shared" ref="H28:H30" si="17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5"/>
        <v>10.290685999999999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5"/>
        <v>-611.58999999999969</v>
      </c>
      <c r="G29" s="39">
        <f t="shared" si="16"/>
        <v>3371.5899999999997</v>
      </c>
      <c r="H29" s="226">
        <f t="shared" si="17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5"/>
        <v>10.185679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5"/>
        <v>-339.60000000000008</v>
      </c>
      <c r="G30" s="39">
        <f t="shared" si="16"/>
        <v>3371.6</v>
      </c>
      <c r="H30" s="226">
        <f t="shared" si="17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5"/>
        <v>10.080672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8">C31*(E31-D31)</f>
        <v>-551.60000000000014</v>
      </c>
      <c r="G31" s="39">
        <f t="shared" ref="G31:G39" si="19">D31*C31</f>
        <v>3371.6</v>
      </c>
      <c r="H31" s="226">
        <f t="shared" ref="H31:H39" si="20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5"/>
        <v>9.9756649999999993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8"/>
        <v>-595.58999999999958</v>
      </c>
      <c r="G32" s="39">
        <f t="shared" si="19"/>
        <v>4759.59</v>
      </c>
      <c r="H32" s="226">
        <f t="shared" si="20"/>
        <v>-0.12513472799127648</v>
      </c>
      <c r="I32" s="39"/>
      <c r="J32" s="39"/>
      <c r="K32" s="39"/>
      <c r="L32" s="4"/>
      <c r="O32" s="81">
        <v>0.94</v>
      </c>
      <c r="P32" s="81">
        <f t="shared" si="5"/>
        <v>9.8706579999999988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8"/>
        <v>-402.61999999999995</v>
      </c>
      <c r="G33" s="39">
        <f t="shared" si="19"/>
        <v>3290.62</v>
      </c>
      <c r="H33" s="226">
        <f t="shared" si="20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5"/>
        <v>9.7656510000000001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8"/>
        <v>-556.62000000000035</v>
      </c>
      <c r="G34" s="39">
        <f t="shared" si="19"/>
        <v>4588.62</v>
      </c>
      <c r="H34" s="226">
        <f t="shared" si="20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5"/>
        <v>9.6606440000000013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8"/>
        <v>-359.65000000000026</v>
      </c>
      <c r="G35" s="39">
        <f t="shared" si="19"/>
        <v>3165.65</v>
      </c>
      <c r="H35" s="226">
        <f t="shared" si="20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5"/>
        <v>9.5556370000000008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8"/>
        <v>-493.79999999999973</v>
      </c>
      <c r="G36" s="39">
        <f t="shared" si="19"/>
        <v>4507.8</v>
      </c>
      <c r="H36" s="226">
        <f t="shared" si="20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5"/>
        <v>9.4506300000000003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8"/>
        <v>-577.7999999999995</v>
      </c>
      <c r="G37" s="39">
        <f t="shared" si="19"/>
        <v>8371.7999999999993</v>
      </c>
      <c r="H37" s="226">
        <f t="shared" si="20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8"/>
        <v>-403.8</v>
      </c>
      <c r="G38" s="39">
        <f t="shared" si="19"/>
        <v>4387.8</v>
      </c>
      <c r="H38" s="226">
        <f t="shared" si="20"/>
        <v>-9.2027895528510886E-2</v>
      </c>
      <c r="I38" s="523" t="s">
        <v>975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8"/>
        <v>-751.7399999999991</v>
      </c>
      <c r="G39" s="39">
        <f t="shared" si="19"/>
        <v>8035.74</v>
      </c>
      <c r="H39" s="226">
        <f t="shared" si="20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4" si="21">C40*(E40-D40)</f>
        <v>-781.73999999999955</v>
      </c>
      <c r="G40" s="39">
        <f t="shared" ref="G40:G44" si="22">D40*C40</f>
        <v>8035.74</v>
      </c>
      <c r="H40" s="226">
        <f t="shared" ref="H40:H44" si="23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1"/>
        <v>-895.80000000000018</v>
      </c>
      <c r="G41" s="39">
        <f t="shared" si="22"/>
        <v>8035.8</v>
      </c>
      <c r="H41" s="226">
        <f t="shared" si="23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1"/>
        <v>-547.79999999999961</v>
      </c>
      <c r="G42" s="39">
        <f t="shared" si="22"/>
        <v>4291.8</v>
      </c>
      <c r="H42" s="226">
        <f t="shared" si="23"/>
        <v>-0.12763875297078142</v>
      </c>
      <c r="I42" s="523" t="s">
        <v>976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1"/>
        <v>-702.8300000000005</v>
      </c>
      <c r="G43" s="39">
        <f t="shared" si="22"/>
        <v>6667.83</v>
      </c>
      <c r="H43" s="226">
        <f t="shared" si="23"/>
        <v>-0.10540610663439237</v>
      </c>
      <c r="I43" s="39"/>
      <c r="J43" s="39">
        <v>581</v>
      </c>
      <c r="K43" s="39"/>
      <c r="L43" s="4"/>
      <c r="O43" s="81"/>
      <c r="P43" s="81"/>
      <c r="Q43" s="2"/>
      <c r="X43" s="134"/>
    </row>
    <row r="44" spans="1:24" x14ac:dyDescent="0.25">
      <c r="A44" s="4"/>
      <c r="B44" s="188">
        <v>43132</v>
      </c>
      <c r="C44" s="567">
        <v>600</v>
      </c>
      <c r="D44" s="594">
        <v>13.06</v>
      </c>
      <c r="E44" s="39">
        <v>11.45</v>
      </c>
      <c r="F44" s="39">
        <f t="shared" si="21"/>
        <v>-966.00000000000068</v>
      </c>
      <c r="G44" s="39">
        <f t="shared" si="22"/>
        <v>7836</v>
      </c>
      <c r="H44" s="226">
        <f t="shared" si="23"/>
        <v>-0.1232771822358347</v>
      </c>
      <c r="I44" s="39"/>
      <c r="J44" s="39">
        <v>318</v>
      </c>
      <c r="K44" s="39"/>
      <c r="L44" s="4"/>
      <c r="O44" s="81"/>
      <c r="P44" s="81"/>
      <c r="Q44" s="2"/>
      <c r="X44" s="134"/>
    </row>
    <row r="45" spans="1:24" x14ac:dyDescent="0.25">
      <c r="A45" s="4"/>
      <c r="B45" s="188"/>
      <c r="C45" s="10"/>
      <c r="D45" s="195"/>
      <c r="E45" s="39"/>
      <c r="F45" s="39"/>
      <c r="G45" s="39"/>
      <c r="H45" s="226"/>
      <c r="I45" s="39"/>
      <c r="J45" s="39"/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500</v>
      </c>
      <c r="T47" s="582" t="s">
        <v>492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504</v>
      </c>
      <c r="T48" s="22" t="s">
        <v>503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505</v>
      </c>
      <c r="T49" s="22" t="s">
        <v>506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507</v>
      </c>
      <c r="T50" s="22" t="s">
        <v>508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511</v>
      </c>
      <c r="T53" s="22" t="s">
        <v>501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510</v>
      </c>
      <c r="T54" s="22" t="s">
        <v>502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509</v>
      </c>
      <c r="T55" s="22" t="s">
        <v>512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4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5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4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5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4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5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4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5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4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5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4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5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4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5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4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5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4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5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4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4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6">C83*(E83-D83)</f>
        <v>-67.999999999999829</v>
      </c>
      <c r="G83" s="372">
        <f t="shared" ref="G83:G92" si="27">D83*C83</f>
        <v>2110.4</v>
      </c>
      <c r="H83" s="373">
        <f t="shared" ref="H83:H92" si="28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6"/>
        <v>-65.999999999999659</v>
      </c>
      <c r="G84" s="372">
        <f t="shared" si="27"/>
        <v>3129.6</v>
      </c>
      <c r="H84" s="373">
        <f t="shared" si="28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6"/>
        <v>-9.5999999999997954</v>
      </c>
      <c r="G85" s="372">
        <f t="shared" si="27"/>
        <v>3129.6</v>
      </c>
      <c r="H85" s="373">
        <f t="shared" si="28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6"/>
        <v>61.200000000000188</v>
      </c>
      <c r="G86" s="372">
        <f t="shared" si="27"/>
        <v>3129.6</v>
      </c>
      <c r="H86" s="373">
        <f t="shared" si="28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6"/>
        <v>-61.199999999999477</v>
      </c>
      <c r="G87" s="372">
        <f t="shared" si="27"/>
        <v>5103.2</v>
      </c>
      <c r="H87" s="373">
        <f t="shared" si="28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6"/>
        <v>-37.199999999999989</v>
      </c>
      <c r="G88" s="372">
        <f t="shared" si="27"/>
        <v>5103.2</v>
      </c>
      <c r="H88" s="373">
        <f t="shared" si="28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6"/>
        <v>146.80000000000035</v>
      </c>
      <c r="G89" s="372">
        <f t="shared" si="27"/>
        <v>5103.2</v>
      </c>
      <c r="H89" s="373">
        <f t="shared" si="28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6"/>
        <v>180.80000000000069</v>
      </c>
      <c r="G90" s="372">
        <f t="shared" si="27"/>
        <v>5103.2</v>
      </c>
      <c r="H90" s="373">
        <f t="shared" si="28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6"/>
        <v>214.24000000000021</v>
      </c>
      <c r="G91" s="372">
        <f t="shared" si="27"/>
        <v>2454.7599999999998</v>
      </c>
      <c r="H91" s="373">
        <f t="shared" si="28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6"/>
        <v>270.63199999999995</v>
      </c>
      <c r="G92" s="372">
        <f t="shared" si="27"/>
        <v>1908.568</v>
      </c>
      <c r="H92" s="373">
        <f t="shared" si="28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9">C96*(E96-D96)</f>
        <v>382</v>
      </c>
      <c r="G96" s="39">
        <f t="shared" ref="G96:G120" si="30">D96*C96</f>
        <v>4382</v>
      </c>
      <c r="H96" s="226">
        <f t="shared" ref="H96:H120" si="31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9"/>
        <v>-164.99999999999915</v>
      </c>
      <c r="G97" s="39">
        <f t="shared" si="30"/>
        <v>6495</v>
      </c>
      <c r="H97" s="226">
        <f t="shared" si="31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9"/>
        <v>98.440000000000083</v>
      </c>
      <c r="G98" s="39">
        <f t="shared" si="30"/>
        <v>4297.5600000000004</v>
      </c>
      <c r="H98" s="226">
        <f t="shared" si="31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9"/>
        <v>64.440000000000097</v>
      </c>
      <c r="G99" s="39">
        <f t="shared" si="30"/>
        <v>6403.5599999999995</v>
      </c>
      <c r="H99" s="226">
        <f t="shared" si="31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9"/>
        <v>-133.55999999999995</v>
      </c>
      <c r="G100" s="39">
        <f t="shared" si="30"/>
        <v>6403.5599999999995</v>
      </c>
      <c r="H100" s="226">
        <f t="shared" si="31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9"/>
        <v>-229.56000000000003</v>
      </c>
      <c r="G101" s="39">
        <f t="shared" si="30"/>
        <v>6403.5599999999995</v>
      </c>
      <c r="H101" s="226">
        <f t="shared" si="31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9"/>
        <v>-297.55200000000031</v>
      </c>
      <c r="G102" s="39">
        <f t="shared" si="30"/>
        <v>8421.5519999999997</v>
      </c>
      <c r="H102" s="226">
        <f t="shared" si="31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9"/>
        <v>-301.54799999999898</v>
      </c>
      <c r="G103" s="39">
        <f t="shared" si="30"/>
        <v>12457.548000000001</v>
      </c>
      <c r="H103" s="226">
        <f t="shared" si="31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9"/>
        <v>76.452000000000453</v>
      </c>
      <c r="G104" s="39">
        <f t="shared" si="30"/>
        <v>12457.548000000001</v>
      </c>
      <c r="H104" s="226">
        <f t="shared" si="31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9"/>
        <v>-109.54800000000091</v>
      </c>
      <c r="G105" s="39">
        <f t="shared" si="30"/>
        <v>12457.548000000001</v>
      </c>
      <c r="H105" s="226">
        <f t="shared" si="31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9"/>
        <v>342.34799999999979</v>
      </c>
      <c r="G106" s="39">
        <f t="shared" si="30"/>
        <v>8177.652</v>
      </c>
      <c r="H106" s="226">
        <f t="shared" si="31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9"/>
        <v>14.350000000000307</v>
      </c>
      <c r="G107" s="39">
        <f t="shared" si="30"/>
        <v>10245.65</v>
      </c>
      <c r="H107" s="226">
        <f t="shared" si="31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9"/>
        <v>-427.64999999999986</v>
      </c>
      <c r="G108" s="39">
        <f t="shared" si="30"/>
        <v>12193.65</v>
      </c>
      <c r="H108" s="226">
        <f t="shared" si="31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9"/>
        <v>-151.64999999999935</v>
      </c>
      <c r="G109" s="39">
        <f t="shared" si="30"/>
        <v>12193.65</v>
      </c>
      <c r="H109" s="226">
        <f t="shared" si="31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9"/>
        <v>-655.6499999999993</v>
      </c>
      <c r="G110" s="39">
        <f t="shared" si="30"/>
        <v>12193.65</v>
      </c>
      <c r="H110" s="226">
        <f t="shared" si="31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9"/>
        <v>-661.6500000000002</v>
      </c>
      <c r="G111" s="39">
        <f t="shared" si="30"/>
        <v>12193.65</v>
      </c>
      <c r="H111" s="226">
        <f t="shared" si="31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9"/>
        <v>-481.64999999999975</v>
      </c>
      <c r="G112" s="39">
        <f t="shared" si="30"/>
        <v>12193.65</v>
      </c>
      <c r="H112" s="226">
        <f t="shared" si="31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9"/>
        <v>-673.65</v>
      </c>
      <c r="G113" s="39">
        <f t="shared" si="30"/>
        <v>12193.65</v>
      </c>
      <c r="H113" s="226">
        <f t="shared" si="31"/>
        <v>-5.5245968188360334E-2</v>
      </c>
      <c r="I113" s="39"/>
      <c r="J113" s="39">
        <v>-329</v>
      </c>
      <c r="K113" s="39">
        <f t="shared" ref="K113:K120" si="32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9"/>
        <v>-937.68000000000029</v>
      </c>
      <c r="G114" s="39">
        <f t="shared" si="30"/>
        <v>15953.68</v>
      </c>
      <c r="H114" s="226">
        <f t="shared" si="31"/>
        <v>-5.8775154071035667E-2</v>
      </c>
      <c r="I114" s="39"/>
      <c r="J114" s="39">
        <v>-593</v>
      </c>
      <c r="K114" s="39">
        <f t="shared" si="32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9"/>
        <v>363.19999999999908</v>
      </c>
      <c r="G115" s="39">
        <f t="shared" si="30"/>
        <v>7816.8000000000011</v>
      </c>
      <c r="H115" s="226">
        <f t="shared" si="31"/>
        <v>4.6464026199979407E-2</v>
      </c>
      <c r="I115" s="39"/>
      <c r="J115" s="39">
        <v>708</v>
      </c>
      <c r="K115" s="39">
        <f t="shared" si="32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9"/>
        <v>60.000000000000497</v>
      </c>
      <c r="G116" s="39">
        <f t="shared" si="30"/>
        <v>9785</v>
      </c>
      <c r="H116" s="226">
        <f t="shared" si="31"/>
        <v>6.1318344404701578E-3</v>
      </c>
      <c r="I116" s="39"/>
      <c r="J116" s="39">
        <v>405</v>
      </c>
      <c r="K116" s="39">
        <f t="shared" si="32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9"/>
        <v>259.19999999999987</v>
      </c>
      <c r="G117" s="39">
        <f t="shared" si="30"/>
        <v>7780.8000000000011</v>
      </c>
      <c r="H117" s="226">
        <f t="shared" si="31"/>
        <v>3.3312769895126444E-2</v>
      </c>
      <c r="I117" s="39"/>
      <c r="J117" s="39">
        <v>604</v>
      </c>
      <c r="K117" s="39">
        <f t="shared" si="32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9"/>
        <v>834.00000000000034</v>
      </c>
      <c r="G118" s="39">
        <f t="shared" si="30"/>
        <v>5739</v>
      </c>
      <c r="H118" s="226">
        <f t="shared" si="31"/>
        <v>0.14532148457919505</v>
      </c>
      <c r="I118" s="39"/>
      <c r="J118" s="39">
        <v>1179</v>
      </c>
      <c r="K118" s="39">
        <f t="shared" si="32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9"/>
        <v>618.00000000000068</v>
      </c>
      <c r="G119" s="39">
        <f t="shared" si="30"/>
        <v>5739</v>
      </c>
      <c r="H119" s="226">
        <f t="shared" si="31"/>
        <v>0.10768426555148992</v>
      </c>
      <c r="I119" s="39"/>
      <c r="J119" s="39">
        <v>963</v>
      </c>
      <c r="K119" s="39">
        <f t="shared" si="32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9"/>
        <v>825.54000000000019</v>
      </c>
      <c r="G120" s="39">
        <f t="shared" si="30"/>
        <v>3552.46</v>
      </c>
      <c r="H120" s="226">
        <f t="shared" si="31"/>
        <v>0.23238544557855689</v>
      </c>
      <c r="I120" s="39"/>
      <c r="J120" s="39">
        <v>1171</v>
      </c>
      <c r="K120" s="39">
        <f t="shared" si="32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769" priority="73">
      <formula>F32&gt;0</formula>
    </cfRule>
    <cfRule type="expression" dxfId="1768" priority="74">
      <formula>F32&lt;0</formula>
    </cfRule>
  </conditionalFormatting>
  <conditionalFormatting sqref="Q7">
    <cfRule type="expression" dxfId="1767" priority="71">
      <formula>Q7&gt;0</formula>
    </cfRule>
    <cfRule type="expression" dxfId="1766" priority="72">
      <formula>Q7&lt;0</formula>
    </cfRule>
  </conditionalFormatting>
  <conditionalFormatting sqref="Q8">
    <cfRule type="expression" dxfId="1765" priority="69">
      <formula>Q8&gt;0</formula>
    </cfRule>
    <cfRule type="expression" dxfId="176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763" priority="61">
      <formula>M58&gt;0</formula>
    </cfRule>
    <cfRule type="expression" dxfId="1762" priority="62">
      <formula>M58&lt;0</formula>
    </cfRule>
  </conditionalFormatting>
  <conditionalFormatting sqref="Q10">
    <cfRule type="expression" dxfId="1761" priority="59">
      <formula>Q10&gt;0</formula>
    </cfRule>
    <cfRule type="expression" dxfId="1760" priority="60">
      <formula>Q10&lt;0</formula>
    </cfRule>
  </conditionalFormatting>
  <conditionalFormatting sqref="F29:F31">
    <cfRule type="expression" dxfId="1759" priority="57">
      <formula>F29&gt;0</formula>
    </cfRule>
    <cfRule type="expression" dxfId="1758" priority="58">
      <formula>F29&lt;0</formula>
    </cfRule>
  </conditionalFormatting>
  <conditionalFormatting sqref="H29:H31">
    <cfRule type="expression" dxfId="1757" priority="55">
      <formula>H29&gt;0</formula>
    </cfRule>
    <cfRule type="expression" dxfId="1756" priority="56">
      <formula>H29&lt;0</formula>
    </cfRule>
  </conditionalFormatting>
  <conditionalFormatting sqref="F83:F94">
    <cfRule type="expression" dxfId="1755" priority="53">
      <formula>F83&gt;0</formula>
    </cfRule>
    <cfRule type="expression" dxfId="1754" priority="54">
      <formula>F83&lt;0</formula>
    </cfRule>
  </conditionalFormatting>
  <conditionalFormatting sqref="H83:H94">
    <cfRule type="expression" dxfId="1753" priority="51">
      <formula>H83&gt;0</formula>
    </cfRule>
    <cfRule type="expression" dxfId="1752" priority="52">
      <formula>H83&lt;0</formula>
    </cfRule>
  </conditionalFormatting>
  <conditionalFormatting sqref="J41">
    <cfRule type="expression" dxfId="1751" priority="49">
      <formula>J41&gt;0</formula>
    </cfRule>
    <cfRule type="expression" dxfId="1750" priority="50">
      <formula>J41&lt;0</formula>
    </cfRule>
  </conditionalFormatting>
  <conditionalFormatting sqref="J49 J39:J47">
    <cfRule type="expression" dxfId="1749" priority="47">
      <formula>J39&gt;0</formula>
    </cfRule>
    <cfRule type="expression" dxfId="1748" priority="48">
      <formula>J39&lt;0</formula>
    </cfRule>
  </conditionalFormatting>
  <conditionalFormatting sqref="F48 H48">
    <cfRule type="expression" dxfId="1747" priority="45">
      <formula>F48&gt;0</formula>
    </cfRule>
    <cfRule type="expression" dxfId="1746" priority="46">
      <formula>F48&lt;0</formula>
    </cfRule>
  </conditionalFormatting>
  <conditionalFormatting sqref="J48">
    <cfRule type="expression" dxfId="1745" priority="43">
      <formula>J48&gt;0</formula>
    </cfRule>
    <cfRule type="expression" dxfId="1744" priority="44">
      <formula>J48&lt;0</formula>
    </cfRule>
  </conditionalFormatting>
  <conditionalFormatting sqref="K45:K52">
    <cfRule type="expression" dxfId="1743" priority="41">
      <formula>K45&gt;0</formula>
    </cfRule>
    <cfRule type="expression" dxfId="1742" priority="42">
      <formula>K45&lt;0</formula>
    </cfRule>
  </conditionalFormatting>
  <conditionalFormatting sqref="K45:K52">
    <cfRule type="expression" dxfId="1741" priority="39">
      <formula>K45&gt;0</formula>
    </cfRule>
    <cfRule type="expression" dxfId="1740" priority="40">
      <formula>K45&lt;0</formula>
    </cfRule>
  </conditionalFormatting>
  <conditionalFormatting sqref="F102:F118 H102:H118 H120:H128 F120:F128">
    <cfRule type="expression" dxfId="1739" priority="35">
      <formula>F102&gt;0</formula>
    </cfRule>
    <cfRule type="expression" dxfId="1738" priority="36">
      <formula>F102&lt;0</formula>
    </cfRule>
  </conditionalFormatting>
  <conditionalFormatting sqref="F96:F101">
    <cfRule type="expression" dxfId="1737" priority="33">
      <formula>F96&gt;0</formula>
    </cfRule>
    <cfRule type="expression" dxfId="1736" priority="34">
      <formula>F96&lt;0</formula>
    </cfRule>
  </conditionalFormatting>
  <conditionalFormatting sqref="H96:H101">
    <cfRule type="expression" dxfId="1735" priority="31">
      <formula>H96&gt;0</formula>
    </cfRule>
    <cfRule type="expression" dxfId="1734" priority="32">
      <formula>H96&lt;0</formula>
    </cfRule>
  </conditionalFormatting>
  <conditionalFormatting sqref="J112">
    <cfRule type="expression" dxfId="1733" priority="29">
      <formula>J112&gt;0</formula>
    </cfRule>
    <cfRule type="expression" dxfId="1732" priority="30">
      <formula>J112&lt;0</formula>
    </cfRule>
  </conditionalFormatting>
  <conditionalFormatting sqref="J110:J118 J120">
    <cfRule type="expression" dxfId="1731" priority="27">
      <formula>J110&gt;0</formula>
    </cfRule>
    <cfRule type="expression" dxfId="1730" priority="28">
      <formula>J110&lt;0</formula>
    </cfRule>
  </conditionalFormatting>
  <conditionalFormatting sqref="F119 H119">
    <cfRule type="expression" dxfId="1729" priority="25">
      <formula>F119&gt;0</formula>
    </cfRule>
    <cfRule type="expression" dxfId="1728" priority="26">
      <formula>F119&lt;0</formula>
    </cfRule>
  </conditionalFormatting>
  <conditionalFormatting sqref="J119">
    <cfRule type="expression" dxfId="1727" priority="23">
      <formula>J119&gt;0</formula>
    </cfRule>
    <cfRule type="expression" dxfId="1726" priority="24">
      <formula>J119&lt;0</formula>
    </cfRule>
  </conditionalFormatting>
  <conditionalFormatting sqref="K112:K123">
    <cfRule type="expression" dxfId="1725" priority="21">
      <formula>K112&gt;0</formula>
    </cfRule>
    <cfRule type="expression" dxfId="1724" priority="22">
      <formula>K112&lt;0</formula>
    </cfRule>
  </conditionalFormatting>
  <conditionalFormatting sqref="K110:K123">
    <cfRule type="expression" dxfId="1723" priority="19">
      <formula>K110&gt;0</formula>
    </cfRule>
    <cfRule type="expression" dxfId="1722" priority="20">
      <formula>K110&lt;0</formula>
    </cfRule>
  </conditionalFormatting>
  <conditionalFormatting sqref="J121">
    <cfRule type="expression" dxfId="1721" priority="17">
      <formula>J121&gt;0</formula>
    </cfRule>
    <cfRule type="expression" dxfId="1720" priority="18">
      <formula>J121&lt;0</formula>
    </cfRule>
  </conditionalFormatting>
  <conditionalFormatting sqref="F25:F28">
    <cfRule type="expression" dxfId="1719" priority="15">
      <formula>F25&gt;0</formula>
    </cfRule>
    <cfRule type="expression" dxfId="1718" priority="16">
      <formula>F25&lt;0</formula>
    </cfRule>
  </conditionalFormatting>
  <conditionalFormatting sqref="H25:H28">
    <cfRule type="expression" dxfId="1717" priority="13">
      <formula>H25&gt;0</formula>
    </cfRule>
    <cfRule type="expression" dxfId="1716" priority="14">
      <formula>H25&lt;0</formula>
    </cfRule>
  </conditionalFormatting>
  <conditionalFormatting sqref="J27:J29">
    <cfRule type="expression" dxfId="1715" priority="11">
      <formula>J27&gt;0</formula>
    </cfRule>
    <cfRule type="expression" dxfId="1714" priority="12">
      <formula>J27&lt;0</formula>
    </cfRule>
  </conditionalFormatting>
  <conditionalFormatting sqref="J30:J31">
    <cfRule type="expression" dxfId="1713" priority="9">
      <formula>J30&gt;0</formula>
    </cfRule>
    <cfRule type="expression" dxfId="1712" priority="10">
      <formula>J30&lt;0</formula>
    </cfRule>
  </conditionalFormatting>
  <conditionalFormatting sqref="J33">
    <cfRule type="expression" dxfId="1711" priority="7">
      <formula>J33&gt;0</formula>
    </cfRule>
    <cfRule type="expression" dxfId="1710" priority="8">
      <formula>J33&lt;0</formula>
    </cfRule>
  </conditionalFormatting>
  <conditionalFormatting sqref="J34">
    <cfRule type="expression" dxfId="1709" priority="5">
      <formula>J34&gt;0</formula>
    </cfRule>
    <cfRule type="expression" dxfId="1708" priority="6">
      <formula>J34&lt;0</formula>
    </cfRule>
  </conditionalFormatting>
  <conditionalFormatting sqref="J35:J43">
    <cfRule type="expression" dxfId="1707" priority="3">
      <formula>J35&gt;0</formula>
    </cfRule>
    <cfRule type="expression" dxfId="1706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56.99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56.99</v>
      </c>
      <c r="R4" s="487">
        <v>-2.93E-2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02" t="s">
        <v>78</v>
      </c>
      <c r="P40" s="802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62.689000000000007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62.11910000000001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61.549200000000006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60.979300000000009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60.409400000000005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59.839500000000008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59.269600000000004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58.699700000000007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58.129800000000003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57.559900000000006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56.99</v>
      </c>
      <c r="Q51" s="2"/>
      <c r="T51" s="91" t="s">
        <v>104</v>
      </c>
      <c r="U51" s="127" t="s">
        <v>611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56.420099999999998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55.850200000000001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55.280299999999997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54.7104</v>
      </c>
      <c r="T55" s="91" t="s">
        <v>107</v>
      </c>
      <c r="U55" s="127" t="s">
        <v>612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54.140499999999996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53.570599999999999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53.000700000000002</v>
      </c>
      <c r="T58" s="91" t="s">
        <v>108</v>
      </c>
      <c r="U58" s="127" t="s">
        <v>555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52.430800000000005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51.860900000000001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51.291000000000004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705" priority="15">
      <formula>F39&gt;0</formula>
    </cfRule>
    <cfRule type="expression" dxfId="1704" priority="16">
      <formula>F39&lt;0</formula>
    </cfRule>
  </conditionalFormatting>
  <conditionalFormatting sqref="Q7">
    <cfRule type="expression" dxfId="1703" priority="13">
      <formula>Q7&gt;0</formula>
    </cfRule>
    <cfRule type="expression" dxfId="1702" priority="14">
      <formula>Q7&lt;0</formula>
    </cfRule>
  </conditionalFormatting>
  <conditionalFormatting sqref="Q8">
    <cfRule type="expression" dxfId="1701" priority="11">
      <formula>Q8&gt;0</formula>
    </cfRule>
    <cfRule type="expression" dxfId="1700" priority="12">
      <formula>Q8&lt;0</formula>
    </cfRule>
  </conditionalFormatting>
  <conditionalFormatting sqref="F25:F38">
    <cfRule type="expression" dxfId="1699" priority="9">
      <formula>F25&gt;0</formula>
    </cfRule>
    <cfRule type="expression" dxfId="1698" priority="10">
      <formula>F25&lt;0</formula>
    </cfRule>
  </conditionalFormatting>
  <conditionalFormatting sqref="H25:H38">
    <cfRule type="expression" dxfId="1697" priority="7">
      <formula>H25&gt;0</formula>
    </cfRule>
    <cfRule type="expression" dxfId="169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695" priority="3">
      <formula>M55&gt;0</formula>
    </cfRule>
    <cfRule type="expression" dxfId="1694" priority="4">
      <formula>M55&lt;0</formula>
    </cfRule>
  </conditionalFormatting>
  <conditionalFormatting sqref="Q10">
    <cfRule type="expression" dxfId="1693" priority="1">
      <formula>Q10&gt;0</formula>
    </cfRule>
    <cfRule type="expression" dxfId="169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37.54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37.54</v>
      </c>
      <c r="R4" s="487">
        <v>-1.9800000000000002E-2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02" t="s">
        <v>78</v>
      </c>
      <c r="P40" s="802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41.294000000000004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40.918600000000005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40.543199999999999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40.1678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39.792400000000001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39.417000000000002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39.041600000000003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38.666200000000003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38.290799999999997</v>
      </c>
      <c r="Q49" s="2"/>
      <c r="T49" s="91" t="s">
        <v>103</v>
      </c>
      <c r="U49" s="127" t="s">
        <v>613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37.915399999999998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37.54</v>
      </c>
      <c r="Q51" s="2"/>
      <c r="T51" s="91" t="s">
        <v>104</v>
      </c>
      <c r="U51" s="127" t="s">
        <v>614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37.1646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36.789200000000001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36.413799999999995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36.038399999999996</v>
      </c>
      <c r="T55" s="91" t="s">
        <v>107</v>
      </c>
      <c r="U55" s="127" t="s">
        <v>615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35.662999999999997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35.287599999999998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34.912199999999999</v>
      </c>
      <c r="T58" s="91" t="s">
        <v>108</v>
      </c>
      <c r="U58" s="127" t="s">
        <v>524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34.536799999999999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34.1614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33.786000000000001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691" priority="27">
      <formula>F27&gt;0</formula>
    </cfRule>
    <cfRule type="expression" dxfId="169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689" priority="15">
      <formula>Q8&gt;0</formula>
    </cfRule>
    <cfRule type="expression" dxfId="1688" priority="16">
      <formula>Q8&lt;0</formula>
    </cfRule>
  </conditionalFormatting>
  <conditionalFormatting sqref="Q7">
    <cfRule type="expression" dxfId="1687" priority="17">
      <formula>Q7&gt;0</formula>
    </cfRule>
    <cfRule type="expression" dxfId="1686" priority="18">
      <formula>Q7&lt;0</formula>
    </cfRule>
  </conditionalFormatting>
  <conditionalFormatting sqref="F37:F38">
    <cfRule type="expression" dxfId="1685" priority="13">
      <formula>F37&gt;0</formula>
    </cfRule>
    <cfRule type="expression" dxfId="1684" priority="14">
      <formula>F37&lt;0</formula>
    </cfRule>
  </conditionalFormatting>
  <conditionalFormatting sqref="H37:H38">
    <cfRule type="expression" dxfId="1683" priority="11">
      <formula>H37&gt;0</formula>
    </cfRule>
    <cfRule type="expression" dxfId="1682" priority="12">
      <formula>H37&lt;0</formula>
    </cfRule>
  </conditionalFormatting>
  <conditionalFormatting sqref="F23:F26 H23:H26">
    <cfRule type="expression" dxfId="1681" priority="9">
      <formula>F23&gt;0</formula>
    </cfRule>
    <cfRule type="expression" dxfId="1680" priority="10">
      <formula>F23&lt;0</formula>
    </cfRule>
  </conditionalFormatting>
  <conditionalFormatting sqref="Q10">
    <cfRule type="expression" dxfId="1679" priority="3">
      <formula>Q10&gt;0</formula>
    </cfRule>
    <cfRule type="expression" dxfId="1678" priority="4">
      <formula>Q10&lt;0</formula>
    </cfRule>
  </conditionalFormatting>
  <conditionalFormatting sqref="F22 H22">
    <cfRule type="expression" dxfId="1677" priority="1">
      <formula>F22&gt;0</formula>
    </cfRule>
    <cfRule type="expression" dxfId="1676" priority="2">
      <formula>F22&lt;0</formula>
    </cfRule>
  </conditionalFormatting>
  <conditionalFormatting sqref="M41">
    <cfRule type="expression" dxfId="1675" priority="5">
      <formula>M41&gt;0</formula>
    </cfRule>
    <cfRule type="expression" dxfId="167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60.96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60.96</v>
      </c>
      <c r="R4" s="487">
        <v>-3.9699999999999999E-2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67.056000000000012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66.446400000000011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65.836800000000011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65.227200000000011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64.61760000000001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64.00800000000001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63.398400000000002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62.788800000000002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62.179200000000002</v>
      </c>
      <c r="Q49" s="2"/>
      <c r="T49" s="91" t="s">
        <v>103</v>
      </c>
      <c r="U49" s="127" t="s">
        <v>495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61.569600000000001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60.96</v>
      </c>
      <c r="Q51" s="2"/>
      <c r="T51" s="91" t="s">
        <v>104</v>
      </c>
      <c r="U51" s="127" t="s">
        <v>616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60.3504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59.7408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59.1312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58.521599999999999</v>
      </c>
      <c r="T55" s="91" t="s">
        <v>107</v>
      </c>
      <c r="U55" s="127" t="s">
        <v>617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57.911999999999999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57.302399999999999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56.692800000000005</v>
      </c>
      <c r="T58" s="91" t="s">
        <v>108</v>
      </c>
      <c r="U58" s="127" t="s">
        <v>562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56.083200000000005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55.473600000000005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54.864000000000004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673" priority="29">
      <formula>F25&gt;0</formula>
    </cfRule>
    <cfRule type="expression" dxfId="1672" priority="30">
      <formula>F25&lt;0</formula>
    </cfRule>
  </conditionalFormatting>
  <conditionalFormatting sqref="Q7">
    <cfRule type="expression" dxfId="1671" priority="27">
      <formula>Q7&gt;0</formula>
    </cfRule>
    <cfRule type="expression" dxfId="1670" priority="28">
      <formula>Q7&lt;0</formula>
    </cfRule>
  </conditionalFormatting>
  <conditionalFormatting sqref="Q8">
    <cfRule type="expression" dxfId="1669" priority="25">
      <formula>Q8&gt;0</formula>
    </cfRule>
    <cfRule type="expression" dxfId="1668" priority="26">
      <formula>Q8&lt;0</formula>
    </cfRule>
  </conditionalFormatting>
  <conditionalFormatting sqref="Q10">
    <cfRule type="expression" dxfId="1667" priority="13">
      <formula>Q10&gt;0</formula>
    </cfRule>
    <cfRule type="expression" dxfId="1666" priority="14">
      <formula>Q10&lt;0</formula>
    </cfRule>
  </conditionalFormatting>
  <conditionalFormatting sqref="M46">
    <cfRule type="expression" dxfId="1665" priority="11">
      <formula>M46&gt;0</formula>
    </cfRule>
    <cfRule type="expression" dxfId="1664" priority="12">
      <formula>M46&lt;0</formula>
    </cfRule>
  </conditionalFormatting>
  <conditionalFormatting sqref="F80:F88 H80:H88">
    <cfRule type="expression" dxfId="1663" priority="9">
      <formula>F80&gt;0</formula>
    </cfRule>
    <cfRule type="expression" dxfId="1662" priority="10">
      <formula>F80&lt;0</formula>
    </cfRule>
  </conditionalFormatting>
  <conditionalFormatting sqref="F75:F79">
    <cfRule type="expression" dxfId="1661" priority="7">
      <formula>F75&gt;0</formula>
    </cfRule>
    <cfRule type="expression" dxfId="1660" priority="8">
      <formula>F75&lt;0</formula>
    </cfRule>
  </conditionalFormatting>
  <conditionalFormatting sqref="H75:H79">
    <cfRule type="expression" dxfId="1659" priority="5">
      <formula>H75&gt;0</formula>
    </cfRule>
    <cfRule type="expression" dxfId="1658" priority="6">
      <formula>H75&lt;0</formula>
    </cfRule>
  </conditionalFormatting>
  <conditionalFormatting sqref="F71:F74">
    <cfRule type="expression" dxfId="1657" priority="3">
      <formula>F71&gt;0</formula>
    </cfRule>
    <cfRule type="expression" dxfId="1656" priority="4">
      <formula>F71&lt;0</formula>
    </cfRule>
  </conditionalFormatting>
  <conditionalFormatting sqref="H71:H74">
    <cfRule type="expression" dxfId="1655" priority="1">
      <formula>H71&gt;0</formula>
    </cfRule>
    <cfRule type="expression" dxfId="165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30.56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30.56</v>
      </c>
      <c r="R4" s="509">
        <v>-4.7699999999999999E-2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33.616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33.310400000000001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33.004800000000003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32.699199999999998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32.393599999999999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32.088000000000001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31.782399999999999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31.476800000000001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31.171199999999999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30.865600000000001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30.56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30.254399999999997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29.948799999999999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29.643199999999997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29.337599999999998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29.031999999999996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28.726399999999998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28.4208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28.115200000000002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27.8096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27.503999999999998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53" priority="21">
      <formula>F47&gt;0</formula>
    </cfRule>
    <cfRule type="expression" dxfId="1652" priority="22">
      <formula>F47&lt;0</formula>
    </cfRule>
  </conditionalFormatting>
  <conditionalFormatting sqref="Q7">
    <cfRule type="expression" dxfId="1651" priority="19">
      <formula>Q7&gt;0</formula>
    </cfRule>
    <cfRule type="expression" dxfId="1650" priority="20">
      <formula>Q7&lt;0</formula>
    </cfRule>
  </conditionalFormatting>
  <conditionalFormatting sqref="Q8">
    <cfRule type="expression" dxfId="1649" priority="17">
      <formula>Q8&gt;0</formula>
    </cfRule>
    <cfRule type="expression" dxfId="1648" priority="18">
      <formula>Q8&lt;0</formula>
    </cfRule>
  </conditionalFormatting>
  <conditionalFormatting sqref="F25:F46">
    <cfRule type="expression" dxfId="1647" priority="15">
      <formula>F25&gt;0</formula>
    </cfRule>
    <cfRule type="expression" dxfId="1646" priority="16">
      <formula>F25&lt;0</formula>
    </cfRule>
  </conditionalFormatting>
  <conditionalFormatting sqref="H25:H46">
    <cfRule type="expression" dxfId="1645" priority="13">
      <formula>H25&gt;0</formula>
    </cfRule>
    <cfRule type="expression" dxfId="1644" priority="14">
      <formula>H25&lt;0</formula>
    </cfRule>
  </conditionalFormatting>
  <conditionalFormatting sqref="F89:F110">
    <cfRule type="expression" dxfId="1643" priority="11">
      <formula>F89&gt;0</formula>
    </cfRule>
    <cfRule type="expression" dxfId="1642" priority="12">
      <formula>F89&lt;0</formula>
    </cfRule>
  </conditionalFormatting>
  <conditionalFormatting sqref="H89:H110">
    <cfRule type="expression" dxfId="1641" priority="9">
      <formula>H89&gt;0</formula>
    </cfRule>
    <cfRule type="expression" dxfId="1640" priority="10">
      <formula>H89&lt;0</formula>
    </cfRule>
  </conditionalFormatting>
  <conditionalFormatting sqref="Q10">
    <cfRule type="expression" dxfId="1639" priority="7">
      <formula>Q10&gt;0</formula>
    </cfRule>
    <cfRule type="expression" dxfId="1638" priority="8">
      <formula>Q10&lt;0</formula>
    </cfRule>
  </conditionalFormatting>
  <conditionalFormatting sqref="J25:J38">
    <cfRule type="expression" dxfId="1637" priority="5">
      <formula>J25&gt;0</formula>
    </cfRule>
    <cfRule type="expression" dxfId="1636" priority="6">
      <formula>J25&lt;0</formula>
    </cfRule>
  </conditionalFormatting>
  <conditionalFormatting sqref="K25:K38">
    <cfRule type="expression" dxfId="1635" priority="3">
      <formula>K25&gt;0</formula>
    </cfRule>
    <cfRule type="expression" dxfId="1634" priority="4">
      <formula>K25&lt;0</formula>
    </cfRule>
  </conditionalFormatting>
  <conditionalFormatting sqref="L25:L38">
    <cfRule type="expression" dxfId="1633" priority="1">
      <formula>L25&gt;0</formula>
    </cfRule>
    <cfRule type="expression" dxfId="16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62.81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62.81</v>
      </c>
      <c r="R4" s="487">
        <v>-4.4299999999999999E-2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69.091000000000008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68.462900000000005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67.834800000000001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67.206700000000012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66.578600000000009</v>
      </c>
      <c r="Q45" s="2"/>
      <c r="T45" s="91" t="s">
        <v>99</v>
      </c>
      <c r="U45" s="127" t="s">
        <v>618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65.950500000000005</v>
      </c>
      <c r="Q46" s="2"/>
      <c r="T46" s="91" t="s">
        <v>100</v>
      </c>
      <c r="U46" s="127" t="s">
        <v>619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65.322400000000002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64.694299999999998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64.066200000000009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63.438100000000006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62.81</v>
      </c>
      <c r="Q51" s="2"/>
      <c r="T51" s="91" t="s">
        <v>104</v>
      </c>
      <c r="U51" s="127" t="s">
        <v>620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62.181899999999999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61.553800000000003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60.925699999999999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60.297600000000003</v>
      </c>
      <c r="T55" s="91" t="s">
        <v>107</v>
      </c>
      <c r="U55" s="127" t="s">
        <v>621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59.669499999999999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59.041399999999996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58.413300000000007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57.785200000000003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57.157100000000007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56.529000000000003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631" priority="23">
      <formula>F34&gt;0</formula>
    </cfRule>
    <cfRule type="expression" dxfId="1630" priority="24">
      <formula>F34&lt;0</formula>
    </cfRule>
  </conditionalFormatting>
  <conditionalFormatting sqref="Q7">
    <cfRule type="expression" dxfId="1629" priority="21">
      <formula>Q7&gt;0</formula>
    </cfRule>
    <cfRule type="expression" dxfId="1628" priority="22">
      <formula>Q7&lt;0</formula>
    </cfRule>
  </conditionalFormatting>
  <conditionalFormatting sqref="Q8">
    <cfRule type="expression" dxfId="1627" priority="19">
      <formula>Q8&gt;0</formula>
    </cfRule>
    <cfRule type="expression" dxfId="1626" priority="20">
      <formula>Q8&lt;0</formula>
    </cfRule>
  </conditionalFormatting>
  <conditionalFormatting sqref="F25:F33">
    <cfRule type="expression" dxfId="1625" priority="17">
      <formula>F25&gt;0</formula>
    </cfRule>
    <cfRule type="expression" dxfId="1624" priority="18">
      <formula>F25&lt;0</formula>
    </cfRule>
  </conditionalFormatting>
  <conditionalFormatting sqref="H25:H33">
    <cfRule type="expression" dxfId="1623" priority="15">
      <formula>H25&gt;0</formula>
    </cfRule>
    <cfRule type="expression" dxfId="1622" priority="16">
      <formula>H25&lt;0</formula>
    </cfRule>
  </conditionalFormatting>
  <conditionalFormatting sqref="M46">
    <cfRule type="expression" dxfId="1621" priority="13">
      <formula>M46&gt;0</formula>
    </cfRule>
    <cfRule type="expression" dxfId="1620" priority="14">
      <formula>M46&lt;0</formula>
    </cfRule>
  </conditionalFormatting>
  <conditionalFormatting sqref="F79:F87 H79:H87">
    <cfRule type="expression" dxfId="1619" priority="11">
      <formula>F79&gt;0</formula>
    </cfRule>
    <cfRule type="expression" dxfId="1618" priority="12">
      <formula>F79&lt;0</formula>
    </cfRule>
  </conditionalFormatting>
  <conditionalFormatting sqref="F70:F78">
    <cfRule type="expression" dxfId="1617" priority="9">
      <formula>F70&gt;0</formula>
    </cfRule>
    <cfRule type="expression" dxfId="1616" priority="10">
      <formula>F70&lt;0</formula>
    </cfRule>
  </conditionalFormatting>
  <conditionalFormatting sqref="H70:H78">
    <cfRule type="expression" dxfId="1615" priority="7">
      <formula>H70&gt;0</formula>
    </cfRule>
    <cfRule type="expression" dxfId="1614" priority="8">
      <formula>H70&lt;0</formula>
    </cfRule>
  </conditionalFormatting>
  <conditionalFormatting sqref="J27:K27 J30:K30 J33:K33 J36:K36 J39:K39 J42:K42">
    <cfRule type="expression" dxfId="1613" priority="5">
      <formula>J27&gt;0</formula>
    </cfRule>
    <cfRule type="expression" dxfId="1612" priority="6">
      <formula>J27&lt;0</formula>
    </cfRule>
  </conditionalFormatting>
  <conditionalFormatting sqref="J28:K29 J31:K32 J34:K35 J37:K38 J40:K41">
    <cfRule type="expression" dxfId="1611" priority="3">
      <formula>J28&gt;0</formula>
    </cfRule>
    <cfRule type="expression" dxfId="1610" priority="4">
      <formula>J28&lt;0</formula>
    </cfRule>
  </conditionalFormatting>
  <conditionalFormatting sqref="L27:L42">
    <cfRule type="expression" dxfId="1609" priority="1">
      <formula>L27&gt;0</formula>
    </cfRule>
    <cfRule type="expression" dxfId="160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26.52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26.52</v>
      </c>
      <c r="R4" s="487">
        <v>-8.8999999999999996E-2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29.172000000000001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28.9068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28.6416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28.3764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28.1112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27.846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27.5808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27.3156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27.0504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26.7852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26.52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26.254799999999999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25.989599999999999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25.724399999999999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25.459199999999999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25.193999999999999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24.928799999999999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24.663600000000002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24.398400000000002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24.133200000000002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23.867999999999999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721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607" priority="9">
      <formula>F57&gt;0</formula>
    </cfRule>
    <cfRule type="expression" dxfId="1606" priority="10">
      <formula>F57&lt;0</formula>
    </cfRule>
  </conditionalFormatting>
  <conditionalFormatting sqref="Q7">
    <cfRule type="expression" dxfId="1605" priority="7">
      <formula>Q7&gt;0</formula>
    </cfRule>
    <cfRule type="expression" dxfId="1604" priority="8">
      <formula>Q7&lt;0</formula>
    </cfRule>
  </conditionalFormatting>
  <conditionalFormatting sqref="Q8">
    <cfRule type="expression" dxfId="1603" priority="5">
      <formula>Q8&gt;0</formula>
    </cfRule>
    <cfRule type="expression" dxfId="1602" priority="6">
      <formula>Q8&lt;0</formula>
    </cfRule>
  </conditionalFormatting>
  <conditionalFormatting sqref="F25:F56">
    <cfRule type="expression" dxfId="1601" priority="3">
      <formula>F25&gt;0</formula>
    </cfRule>
    <cfRule type="expression" dxfId="1600" priority="4">
      <formula>F25&lt;0</formula>
    </cfRule>
  </conditionalFormatting>
  <conditionalFormatting sqref="H25:H56">
    <cfRule type="expression" dxfId="1599" priority="1">
      <formula>H25&gt;0</formula>
    </cfRule>
    <cfRule type="expression" dxfId="159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73.319999999999993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73.319999999999993</v>
      </c>
      <c r="R4" s="487">
        <v>-4.0899999999999999E-2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80.652000000000001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79.918800000000005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79.185599999999994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78.452399999999997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77.719200000000001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76.98599999999999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76.252799999999993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75.519599999999997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74.7864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74.05319999999999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73.319999999999993</v>
      </c>
      <c r="Q51" s="2"/>
      <c r="T51" s="91" t="s">
        <v>104</v>
      </c>
      <c r="U51" s="127" t="s">
        <v>622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72.586799999999997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71.853599999999986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71.120399999999989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70.387199999999993</v>
      </c>
      <c r="T55" s="91" t="s">
        <v>107</v>
      </c>
      <c r="U55" s="127" t="s">
        <v>623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69.653999999999996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68.920799999999986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68.187600000000003</v>
      </c>
      <c r="T58" s="91" t="s">
        <v>108</v>
      </c>
      <c r="U58" s="127" t="s">
        <v>543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67.454399999999993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66.721199999999996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65.988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597" priority="15">
      <formula>F57&gt;0</formula>
    </cfRule>
    <cfRule type="expression" dxfId="1596" priority="16">
      <formula>F57&lt;0</formula>
    </cfRule>
  </conditionalFormatting>
  <conditionalFormatting sqref="Q7">
    <cfRule type="expression" dxfId="1595" priority="13">
      <formula>Q7&gt;0</formula>
    </cfRule>
    <cfRule type="expression" dxfId="1594" priority="14">
      <formula>Q7&lt;0</formula>
    </cfRule>
  </conditionalFormatting>
  <conditionalFormatting sqref="Q8">
    <cfRule type="expression" dxfId="1593" priority="11">
      <formula>Q8&gt;0</formula>
    </cfRule>
    <cfRule type="expression" dxfId="1592" priority="12">
      <formula>Q8&lt;0</formula>
    </cfRule>
  </conditionalFormatting>
  <conditionalFormatting sqref="F25:F56">
    <cfRule type="expression" dxfId="1591" priority="9">
      <formula>F25&gt;0</formula>
    </cfRule>
    <cfRule type="expression" dxfId="1590" priority="10">
      <formula>F25&lt;0</formula>
    </cfRule>
  </conditionalFormatting>
  <conditionalFormatting sqref="H25:H56">
    <cfRule type="expression" dxfId="1589" priority="7">
      <formula>H25&gt;0</formula>
    </cfRule>
    <cfRule type="expression" dxfId="1588" priority="8">
      <formula>H25&lt;0</formula>
    </cfRule>
  </conditionalFormatting>
  <conditionalFormatting sqref="M58">
    <cfRule type="expression" dxfId="1587" priority="5">
      <formula>M58&gt;0</formula>
    </cfRule>
    <cfRule type="expression" dxfId="1586" priority="6">
      <formula>M58&lt;0</formula>
    </cfRule>
  </conditionalFormatting>
  <conditionalFormatting sqref="F84:F115">
    <cfRule type="expression" dxfId="1585" priority="3">
      <formula>F84&gt;0</formula>
    </cfRule>
    <cfRule type="expression" dxfId="1584" priority="4">
      <formula>F84&lt;0</formula>
    </cfRule>
  </conditionalFormatting>
  <conditionalFormatting sqref="H84:H115">
    <cfRule type="expression" dxfId="1583" priority="1">
      <formula>H84&gt;0</formula>
    </cfRule>
    <cfRule type="expression" dxfId="158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791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190.27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190.27</v>
      </c>
      <c r="R4" s="509">
        <v>-2.7400000000000001E-2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209.29700000000003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207.39430000000002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205.49160000000003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203.58890000000002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201.68620000000001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199.78350000000003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197.88080000000002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195.97810000000001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194.0754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192.17270000000002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190.27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188.3673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186.46460000000002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184.56190000000001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182.6592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180.75649999999999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178.85380000000001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176.95110000000003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175.04840000000002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173.14570000000001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171.24300000000002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1" priority="21">
      <formula>F47&gt;0</formula>
    </cfRule>
    <cfRule type="expression" dxfId="1580" priority="22">
      <formula>F47&lt;0</formula>
    </cfRule>
  </conditionalFormatting>
  <conditionalFormatting sqref="Q7">
    <cfRule type="expression" dxfId="1579" priority="19">
      <formula>Q7&gt;0</formula>
    </cfRule>
    <cfRule type="expression" dxfId="1578" priority="20">
      <formula>Q7&lt;0</formula>
    </cfRule>
  </conditionalFormatting>
  <conditionalFormatting sqref="Q8">
    <cfRule type="expression" dxfId="1577" priority="17">
      <formula>Q8&gt;0</formula>
    </cfRule>
    <cfRule type="expression" dxfId="1576" priority="18">
      <formula>Q8&lt;0</formula>
    </cfRule>
  </conditionalFormatting>
  <conditionalFormatting sqref="F25:F46">
    <cfRule type="expression" dxfId="1575" priority="15">
      <formula>F25&gt;0</formula>
    </cfRule>
    <cfRule type="expression" dxfId="1574" priority="16">
      <formula>F25&lt;0</formula>
    </cfRule>
  </conditionalFormatting>
  <conditionalFormatting sqref="H25:H46">
    <cfRule type="expression" dxfId="1573" priority="13">
      <formula>H25&gt;0</formula>
    </cfRule>
    <cfRule type="expression" dxfId="1572" priority="14">
      <formula>H25&lt;0</formula>
    </cfRule>
  </conditionalFormatting>
  <conditionalFormatting sqref="F89:F110">
    <cfRule type="expression" dxfId="1571" priority="11">
      <formula>F89&gt;0</formula>
    </cfRule>
    <cfRule type="expression" dxfId="1570" priority="12">
      <formula>F89&lt;0</formula>
    </cfRule>
  </conditionalFormatting>
  <conditionalFormatting sqref="H89:H110">
    <cfRule type="expression" dxfId="1569" priority="9">
      <formula>H89&gt;0</formula>
    </cfRule>
    <cfRule type="expression" dxfId="1568" priority="10">
      <formula>H89&lt;0</formula>
    </cfRule>
  </conditionalFormatting>
  <conditionalFormatting sqref="Q10">
    <cfRule type="expression" dxfId="1567" priority="7">
      <formula>Q10&gt;0</formula>
    </cfRule>
    <cfRule type="expression" dxfId="1566" priority="8">
      <formula>Q10&lt;0</formula>
    </cfRule>
  </conditionalFormatting>
  <conditionalFormatting sqref="J25:J38">
    <cfRule type="expression" dxfId="1565" priority="5">
      <formula>J25&gt;0</formula>
    </cfRule>
    <cfRule type="expression" dxfId="1564" priority="6">
      <formula>J25&lt;0</formula>
    </cfRule>
  </conditionalFormatting>
  <conditionalFormatting sqref="K25:K38">
    <cfRule type="expression" dxfId="1563" priority="3">
      <formula>K25&gt;0</formula>
    </cfRule>
    <cfRule type="expression" dxfId="1562" priority="4">
      <formula>K25&lt;0</formula>
    </cfRule>
  </conditionalFormatting>
  <conditionalFormatting sqref="L25:L38">
    <cfRule type="expression" dxfId="1561" priority="1">
      <formula>L25&gt;0</formula>
    </cfRule>
    <cfRule type="expression" dxfId="156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95"/>
  <sheetViews>
    <sheetView topLeftCell="B1" zoomScale="98" zoomScaleNormal="98" workbookViewId="0">
      <pane ySplit="1" topLeftCell="A44" activePane="bottomLeft" state="frozen"/>
      <selection pane="bottomLeft" activeCell="C59" sqref="C59:F59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4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59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5000</v>
      </c>
      <c r="Y2" s="62">
        <v>42804</v>
      </c>
      <c r="Z2" s="803" t="s">
        <v>725</v>
      </c>
      <c r="AA2" s="803"/>
      <c r="AB2" s="803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1" si="1">H3*I3-J3</f>
        <v>3119.93</v>
      </c>
      <c r="L3" s="72">
        <v>42846</v>
      </c>
      <c r="M3" s="43">
        <v>3.25</v>
      </c>
      <c r="O3" s="11" t="s">
        <v>58</v>
      </c>
      <c r="Q3" s="494">
        <f>IF(Q2=0, Q4, (F69-K69-M69)/Q2)</f>
        <v>15.873623999999987</v>
      </c>
      <c r="Y3" s="62">
        <v>42866</v>
      </c>
      <c r="Z3" s="803" t="s">
        <v>726</v>
      </c>
      <c r="AA3" s="803"/>
      <c r="AB3" s="803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16.78</v>
      </c>
      <c r="R4" s="487">
        <v>-4.2200000000000001E-2</v>
      </c>
      <c r="Y4" s="62">
        <v>43088</v>
      </c>
      <c r="Z4" s="754" t="s">
        <v>838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787</v>
      </c>
      <c r="O5" s="11" t="s">
        <v>67</v>
      </c>
      <c r="Q5" s="3">
        <f>Q4*Q2</f>
        <v>83900</v>
      </c>
      <c r="Y5" s="62">
        <v>43096</v>
      </c>
      <c r="Z5" s="754" t="s">
        <v>843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79368.119999999937</v>
      </c>
      <c r="Y6" s="62">
        <v>43103</v>
      </c>
      <c r="Z6" s="754" t="s">
        <v>894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19147.451000001689</v>
      </c>
      <c r="R7">
        <v>3300</v>
      </c>
      <c r="U7" s="179"/>
      <c r="Y7" s="62"/>
      <c r="Z7" s="754" t="s">
        <v>895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4531.8800000000629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5.7099500403941364E-2</v>
      </c>
      <c r="Y9" s="62">
        <v>43106</v>
      </c>
      <c r="Z9" s="765" t="s">
        <v>917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M430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1.1918951132300357E-2</v>
      </c>
      <c r="R11">
        <f>0.05</f>
        <v>0.05</v>
      </c>
      <c r="Y11" s="62">
        <v>43117</v>
      </c>
      <c r="Z11" s="754" t="s">
        <v>956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4" t="s">
        <v>962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738</v>
      </c>
      <c r="Q14" s="694" t="s">
        <v>739</v>
      </c>
      <c r="R14" s="692" t="s">
        <v>732</v>
      </c>
      <c r="S14" s="692" t="s">
        <v>733</v>
      </c>
      <c r="T14" s="694" t="s">
        <v>735</v>
      </c>
      <c r="U14" s="694" t="s">
        <v>736</v>
      </c>
      <c r="V14" s="692" t="s">
        <v>734</v>
      </c>
      <c r="W14" s="693" t="s">
        <v>737</v>
      </c>
      <c r="Y14" s="62"/>
      <c r="Z14" s="754" t="s">
        <v>965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740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741</v>
      </c>
      <c r="Q16" s="691" t="s">
        <v>731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4" t="s">
        <v>964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6">
        <v>43136</v>
      </c>
      <c r="Z17" s="754" t="s">
        <v>963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  <c r="Y18" s="786">
        <v>43145</v>
      </c>
      <c r="Z18" s="754" t="s">
        <v>82</v>
      </c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/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2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2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2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2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2:16" x14ac:dyDescent="0.25">
      <c r="B37" s="48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2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2:16" x14ac:dyDescent="0.25">
      <c r="B39" s="48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2:16" x14ac:dyDescent="0.25">
      <c r="B40" s="48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2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02" t="s">
        <v>78</v>
      </c>
      <c r="P41" s="802"/>
    </row>
    <row r="42" spans="2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29"/>
      <c r="O42" s="81">
        <v>1.22</v>
      </c>
      <c r="P42" s="81">
        <f>O42*$Q$4</f>
        <v>20.471600000000002</v>
      </c>
    </row>
    <row r="43" spans="2:16" x14ac:dyDescent="0.25"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29"/>
      <c r="O43" s="81">
        <v>1.21</v>
      </c>
      <c r="P43" s="81">
        <f>O43*$Q$4</f>
        <v>20.303800000000003</v>
      </c>
    </row>
    <row r="44" spans="2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20.135999999999999</v>
      </c>
    </row>
    <row r="45" spans="2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19.9682</v>
      </c>
    </row>
    <row r="46" spans="2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19.8004</v>
      </c>
    </row>
    <row r="47" spans="2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19.6326</v>
      </c>
    </row>
    <row r="48" spans="2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19.4648</v>
      </c>
    </row>
    <row r="49" spans="2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19.297000000000001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19.129200000000001</v>
      </c>
    </row>
    <row r="51" spans="2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18.961400000000001</v>
      </c>
    </row>
    <row r="52" spans="2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18.793600000000001</v>
      </c>
    </row>
    <row r="53" spans="2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18.625800000000002</v>
      </c>
    </row>
    <row r="54" spans="2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18.458000000000002</v>
      </c>
    </row>
    <row r="55" spans="2:16" x14ac:dyDescent="0.25">
      <c r="B55" s="752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18.290200000000002</v>
      </c>
    </row>
    <row r="56" spans="2:16" x14ac:dyDescent="0.25">
      <c r="B56" s="752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18.122400000000003</v>
      </c>
    </row>
    <row r="57" spans="2:16" x14ac:dyDescent="0.25">
      <c r="B57" s="752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17.954600000000003</v>
      </c>
    </row>
    <row r="58" spans="2:16" x14ac:dyDescent="0.25">
      <c r="B58" s="752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17.786800000000003</v>
      </c>
    </row>
    <row r="59" spans="2:16" x14ac:dyDescent="0.25">
      <c r="C59" s="4"/>
      <c r="O59" s="81">
        <v>1.05</v>
      </c>
      <c r="P59" s="81">
        <f t="shared" si="3"/>
        <v>17.619000000000003</v>
      </c>
    </row>
    <row r="60" spans="2:16" x14ac:dyDescent="0.25">
      <c r="O60" s="81">
        <v>1.04</v>
      </c>
      <c r="P60" s="81">
        <f t="shared" si="3"/>
        <v>17.4512</v>
      </c>
    </row>
    <row r="61" spans="2:16" x14ac:dyDescent="0.25">
      <c r="O61" s="81">
        <v>1.03</v>
      </c>
      <c r="P61" s="81">
        <f t="shared" si="3"/>
        <v>17.2834</v>
      </c>
    </row>
    <row r="62" spans="2:16" x14ac:dyDescent="0.25">
      <c r="O62" s="81">
        <v>1.02</v>
      </c>
      <c r="P62" s="81">
        <f t="shared" si="3"/>
        <v>17.115600000000001</v>
      </c>
    </row>
    <row r="63" spans="2:16" x14ac:dyDescent="0.25">
      <c r="O63" s="81">
        <v>1.01</v>
      </c>
      <c r="P63" s="81">
        <f t="shared" si="3"/>
        <v>16.947800000000001</v>
      </c>
    </row>
    <row r="64" spans="2:16" x14ac:dyDescent="0.25">
      <c r="O64" s="81">
        <v>1</v>
      </c>
      <c r="P64" s="81">
        <f t="shared" si="3"/>
        <v>16.78</v>
      </c>
    </row>
    <row r="65" spans="1:16" x14ac:dyDescent="0.25">
      <c r="O65" s="81">
        <v>0.99</v>
      </c>
      <c r="P65" s="81">
        <f t="shared" si="3"/>
        <v>16.612200000000001</v>
      </c>
    </row>
    <row r="66" spans="1:16" x14ac:dyDescent="0.25">
      <c r="O66" s="81">
        <v>0.98</v>
      </c>
      <c r="P66" s="81">
        <f t="shared" si="3"/>
        <v>16.444400000000002</v>
      </c>
    </row>
    <row r="67" spans="1:16" x14ac:dyDescent="0.25">
      <c r="O67" s="81">
        <v>0.97</v>
      </c>
      <c r="P67" s="81">
        <f t="shared" si="3"/>
        <v>16.276600000000002</v>
      </c>
    </row>
    <row r="68" spans="1:16" x14ac:dyDescent="0.25">
      <c r="G68" s="29"/>
      <c r="O68" s="81">
        <v>0.96</v>
      </c>
      <c r="P68" s="81">
        <f t="shared" si="3"/>
        <v>16.108800000000002</v>
      </c>
    </row>
    <row r="69" spans="1:16" x14ac:dyDescent="0.25">
      <c r="A69" s="31" t="s">
        <v>81</v>
      </c>
      <c r="B69" s="490"/>
      <c r="C69" s="71">
        <f>SUM(C2:C68)</f>
        <v>16300</v>
      </c>
      <c r="D69" s="18"/>
      <c r="E69" s="18"/>
      <c r="F69" s="18">
        <f>SUM(F2:F68)</f>
        <v>249398.84999999998</v>
      </c>
      <c r="G69" s="14"/>
      <c r="H69" s="71">
        <f>SUM(H2:H68)</f>
        <v>11300</v>
      </c>
      <c r="I69" s="79"/>
      <c r="J69" s="18"/>
      <c r="K69" s="18">
        <f>SUM(K2:K68)</f>
        <v>168692.48000000004</v>
      </c>
      <c r="L69" s="14"/>
      <c r="M69" s="18">
        <f>SUM(M2:M68)</f>
        <v>1338.25</v>
      </c>
      <c r="O69" s="81">
        <v>0.95</v>
      </c>
      <c r="P69" s="81">
        <f t="shared" si="3"/>
        <v>15.941000000000001</v>
      </c>
    </row>
    <row r="70" spans="1:16" ht="15.75" thickBot="1" x14ac:dyDescent="0.3">
      <c r="A70" s="347" t="s">
        <v>194</v>
      </c>
      <c r="B70" s="491"/>
      <c r="C70" s="349">
        <f>SumByColor($A$70, C2:C68)</f>
        <v>11300</v>
      </c>
      <c r="D70" s="349"/>
      <c r="E70" s="349"/>
      <c r="F70" s="350">
        <f>SumByColor($A$70, F2:F68)</f>
        <v>165609</v>
      </c>
      <c r="G70" s="349"/>
      <c r="H70" s="349">
        <f>SumByColor($A$70, H2:H68)</f>
        <v>11300</v>
      </c>
      <c r="I70" s="349"/>
      <c r="J70" s="350"/>
      <c r="K70" s="350">
        <f>SumByColor($A$70, K2:K68)</f>
        <v>168696</v>
      </c>
      <c r="L70" s="349"/>
      <c r="M70" s="350">
        <f>SumByColor($A$70, M2:M68)</f>
        <v>1338</v>
      </c>
      <c r="O70" s="81">
        <v>0.94</v>
      </c>
      <c r="P70" s="81">
        <f t="shared" si="3"/>
        <v>15.773200000000001</v>
      </c>
    </row>
    <row r="71" spans="1:16" x14ac:dyDescent="0.25">
      <c r="O71" s="81">
        <v>0.93</v>
      </c>
      <c r="P71" s="81">
        <f t="shared" si="3"/>
        <v>15.605400000000001</v>
      </c>
    </row>
    <row r="72" spans="1:16" x14ac:dyDescent="0.25">
      <c r="O72" s="81">
        <v>0.92</v>
      </c>
      <c r="P72" s="81">
        <f t="shared" si="3"/>
        <v>15.437600000000002</v>
      </c>
    </row>
    <row r="73" spans="1:16" x14ac:dyDescent="0.25">
      <c r="B73" s="492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516</v>
      </c>
      <c r="K73" s="224" t="s">
        <v>150</v>
      </c>
      <c r="L73" s="224"/>
      <c r="O73" s="81">
        <v>0.91</v>
      </c>
      <c r="P73" s="81">
        <f t="shared" si="3"/>
        <v>15.269800000000002</v>
      </c>
    </row>
    <row r="74" spans="1:16" ht="15" customHeight="1" x14ac:dyDescent="0.25">
      <c r="A74" t="s">
        <v>443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15.102000000000002</v>
      </c>
    </row>
    <row r="75" spans="1:16" x14ac:dyDescent="0.25">
      <c r="A75" t="s">
        <v>455</v>
      </c>
      <c r="B75" s="153">
        <v>42788</v>
      </c>
      <c r="C75" s="435">
        <v>6000</v>
      </c>
      <c r="D75" s="657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14.934200000000001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14.766400000000001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14.598600000000001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14.430800000000001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14.263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5">
        <v>6000</v>
      </c>
      <c r="D82" s="657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5">
        <v>6000</v>
      </c>
      <c r="D84" s="657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5">
        <v>6000</v>
      </c>
      <c r="D90" s="657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5">
        <v>6000</v>
      </c>
      <c r="D91" s="657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10">
        <v>8000</v>
      </c>
      <c r="D116" s="237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5">
        <v>6000</v>
      </c>
      <c r="D126" s="657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824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5">
        <v>6000</v>
      </c>
      <c r="D130" s="657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5">
        <v>6000</v>
      </c>
      <c r="D134" s="657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5">
        <v>6000</v>
      </c>
      <c r="D135" s="657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831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10">
        <v>4000</v>
      </c>
      <c r="D154" s="237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58" si="94">C156*(E156-D156)</f>
        <v>14144.999999999996</v>
      </c>
      <c r="G156" s="39">
        <f t="shared" ref="G156:G158" si="95">D156*C156</f>
        <v>63099</v>
      </c>
      <c r="H156" s="226">
        <f t="shared" ref="H156:H158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B159" s="153"/>
      <c r="C159" s="10"/>
      <c r="D159" s="237"/>
      <c r="E159" s="39"/>
      <c r="F159" s="39"/>
      <c r="G159" s="39"/>
      <c r="H159" s="226"/>
      <c r="I159" s="39"/>
      <c r="J159" s="39"/>
      <c r="K159" s="39"/>
      <c r="L159" s="39"/>
    </row>
    <row r="160" spans="1:12" x14ac:dyDescent="0.25">
      <c r="B160" s="153"/>
      <c r="C160" s="10"/>
      <c r="D160" s="237"/>
      <c r="E160" s="39"/>
      <c r="F160" s="39"/>
      <c r="G160" s="39"/>
      <c r="H160" s="226"/>
      <c r="I160" s="39"/>
      <c r="J160" s="39"/>
      <c r="K160" s="39"/>
      <c r="L160" s="39"/>
    </row>
    <row r="161" spans="2:12" x14ac:dyDescent="0.25">
      <c r="B161" s="153"/>
      <c r="C161" s="10"/>
      <c r="D161" s="237"/>
      <c r="E161" s="39"/>
      <c r="F161" s="39"/>
      <c r="G161" s="39"/>
      <c r="H161" s="226"/>
      <c r="I161" s="39"/>
      <c r="J161" s="39"/>
      <c r="K161" s="39"/>
      <c r="L161" s="39"/>
    </row>
    <row r="162" spans="2:12" x14ac:dyDescent="0.25">
      <c r="B162" s="153"/>
      <c r="C162" s="10"/>
      <c r="D162" s="237"/>
      <c r="E162" s="39"/>
      <c r="F162" s="39"/>
      <c r="G162" s="39"/>
      <c r="H162" s="226"/>
      <c r="I162" s="39"/>
      <c r="J162" s="39"/>
      <c r="K162" s="39"/>
      <c r="L162" s="39"/>
    </row>
    <row r="163" spans="2:12" x14ac:dyDescent="0.25">
      <c r="B163" s="153"/>
      <c r="C163" s="10"/>
      <c r="D163" s="237"/>
      <c r="E163" s="39"/>
      <c r="F163" s="39"/>
      <c r="G163" s="39"/>
      <c r="H163" s="226"/>
      <c r="I163" s="39"/>
      <c r="J163" s="39"/>
      <c r="K163" s="39"/>
      <c r="L163" s="39"/>
    </row>
    <row r="164" spans="2:12" x14ac:dyDescent="0.25">
      <c r="B164" s="153"/>
      <c r="C164" s="10"/>
      <c r="D164" s="237"/>
      <c r="E164" s="39"/>
      <c r="F164" s="39"/>
      <c r="G164" s="39"/>
      <c r="H164" s="226"/>
      <c r="I164" s="39"/>
      <c r="J164" s="39"/>
      <c r="K164" s="39"/>
      <c r="L164" s="39"/>
    </row>
    <row r="165" spans="2:12" x14ac:dyDescent="0.25">
      <c r="B165" s="153"/>
      <c r="C165" s="10"/>
      <c r="D165" s="237"/>
      <c r="E165" s="39"/>
      <c r="F165" s="39"/>
      <c r="G165" s="39"/>
      <c r="H165" s="226"/>
      <c r="I165" s="39"/>
      <c r="J165" s="39"/>
      <c r="K165" s="39"/>
      <c r="L165" s="39"/>
    </row>
    <row r="170" spans="2:12" x14ac:dyDescent="0.25">
      <c r="B170" s="633" t="s">
        <v>113</v>
      </c>
      <c r="C170" s="498" t="s">
        <v>146</v>
      </c>
      <c r="D170" s="634" t="s">
        <v>145</v>
      </c>
      <c r="E170" s="500" t="s">
        <v>147</v>
      </c>
      <c r="F170" s="501" t="s">
        <v>65</v>
      </c>
      <c r="G170" s="502" t="s">
        <v>151</v>
      </c>
      <c r="H170" s="501" t="s">
        <v>88</v>
      </c>
      <c r="I170" s="502" t="s">
        <v>154</v>
      </c>
    </row>
    <row r="171" spans="2:12" x14ac:dyDescent="0.25">
      <c r="B171" s="635">
        <v>42305</v>
      </c>
      <c r="C171" s="371">
        <v>2000</v>
      </c>
      <c r="D171" s="636">
        <v>34.06</v>
      </c>
      <c r="E171" s="372">
        <v>17.68</v>
      </c>
      <c r="F171" s="372">
        <v>-32767.45</v>
      </c>
      <c r="G171" s="372">
        <f t="shared" ref="G171:G177" si="97">IF(C171=0, 0,D171*C171)</f>
        <v>68120</v>
      </c>
      <c r="H171" s="374">
        <f t="shared" ref="H171:H177" si="98">IF(C171=0, D171, (E171-D171)/D171)</f>
        <v>-0.48091603053435117</v>
      </c>
      <c r="I171" s="372"/>
    </row>
    <row r="172" spans="2:12" x14ac:dyDescent="0.25">
      <c r="B172" s="635">
        <v>42307</v>
      </c>
      <c r="C172" s="371">
        <v>0</v>
      </c>
      <c r="D172" s="636" t="s">
        <v>128</v>
      </c>
      <c r="E172" s="372">
        <v>17.55</v>
      </c>
      <c r="F172" s="372">
        <v>-30722.2</v>
      </c>
      <c r="G172" s="372">
        <f t="shared" si="97"/>
        <v>0</v>
      </c>
      <c r="H172" s="374" t="str">
        <f t="shared" si="98"/>
        <v>N/A</v>
      </c>
      <c r="I172" s="372"/>
    </row>
    <row r="173" spans="2:12" x14ac:dyDescent="0.25">
      <c r="B173" s="635">
        <v>42310</v>
      </c>
      <c r="C173" s="371">
        <v>0</v>
      </c>
      <c r="D173" s="636" t="s">
        <v>128</v>
      </c>
      <c r="E173" s="372">
        <v>19.010000000000002</v>
      </c>
      <c r="F173" s="372">
        <v>-30693.25</v>
      </c>
      <c r="G173" s="372">
        <f t="shared" si="97"/>
        <v>0</v>
      </c>
      <c r="H173" s="374" t="str">
        <f t="shared" si="98"/>
        <v>N/A</v>
      </c>
      <c r="I173" s="372"/>
    </row>
    <row r="174" spans="2:12" x14ac:dyDescent="0.25">
      <c r="B174" s="635">
        <v>42314</v>
      </c>
      <c r="C174" s="371">
        <v>2500</v>
      </c>
      <c r="D174" s="636">
        <v>30.24</v>
      </c>
      <c r="E174" s="372">
        <v>18.29</v>
      </c>
      <c r="F174" s="372">
        <v>-29878.25</v>
      </c>
      <c r="G174" s="372">
        <f t="shared" si="97"/>
        <v>75600</v>
      </c>
      <c r="H174" s="374">
        <f t="shared" si="98"/>
        <v>-0.39517195767195767</v>
      </c>
      <c r="I174" s="372"/>
    </row>
    <row r="175" spans="2:12" x14ac:dyDescent="0.25">
      <c r="B175" s="635">
        <v>42318</v>
      </c>
      <c r="C175" s="371">
        <v>0</v>
      </c>
      <c r="D175" s="636" t="s">
        <v>128</v>
      </c>
      <c r="E175" s="372">
        <v>18.78</v>
      </c>
      <c r="F175" s="372">
        <v>-28604.09</v>
      </c>
      <c r="G175" s="372">
        <f t="shared" si="97"/>
        <v>0</v>
      </c>
      <c r="H175" s="374" t="str">
        <f t="shared" si="98"/>
        <v>N/A</v>
      </c>
      <c r="I175" s="372"/>
    </row>
    <row r="176" spans="2:12" x14ac:dyDescent="0.25">
      <c r="B176" s="635">
        <v>42328</v>
      </c>
      <c r="C176" s="371">
        <v>3078</v>
      </c>
      <c r="D176" s="636">
        <v>26.76</v>
      </c>
      <c r="E176" s="372">
        <v>17.440000000000001</v>
      </c>
      <c r="F176" s="372">
        <v>-28696.448999999906</v>
      </c>
      <c r="G176" s="372">
        <f t="shared" si="97"/>
        <v>82367.28</v>
      </c>
      <c r="H176" s="374">
        <f t="shared" si="98"/>
        <v>-0.34828101644245141</v>
      </c>
      <c r="I176" s="372"/>
    </row>
    <row r="177" spans="2:15" x14ac:dyDescent="0.25">
      <c r="B177" s="635">
        <v>42331</v>
      </c>
      <c r="C177" s="371">
        <v>0</v>
      </c>
      <c r="D177" s="636" t="s">
        <v>128</v>
      </c>
      <c r="E177" s="372">
        <v>17.53</v>
      </c>
      <c r="F177" s="372">
        <v>-28051.068999999901</v>
      </c>
      <c r="G177" s="372">
        <f t="shared" si="97"/>
        <v>0</v>
      </c>
      <c r="H177" s="374" t="str">
        <f t="shared" si="98"/>
        <v>N/A</v>
      </c>
      <c r="I177" s="372"/>
    </row>
    <row r="178" spans="2:15" x14ac:dyDescent="0.25">
      <c r="B178" s="635">
        <v>42335</v>
      </c>
      <c r="C178" s="371">
        <v>3078</v>
      </c>
      <c r="D178" s="636">
        <v>26.85</v>
      </c>
      <c r="E178" s="372">
        <v>17.73</v>
      </c>
      <c r="F178" s="372">
        <f>C178*(E178-D178)</f>
        <v>-28071.360000000004</v>
      </c>
      <c r="G178" s="372">
        <f>D178*C178</f>
        <v>82644.3</v>
      </c>
      <c r="H178" s="373">
        <f>(E178-D178)/D178</f>
        <v>-0.33966480446927377</v>
      </c>
      <c r="I178" s="372"/>
      <c r="N178" s="70"/>
    </row>
    <row r="179" spans="2:15" x14ac:dyDescent="0.25">
      <c r="B179" s="635">
        <v>42335</v>
      </c>
      <c r="C179" s="371">
        <v>3578</v>
      </c>
      <c r="D179" s="636">
        <v>25.55</v>
      </c>
      <c r="E179" s="372">
        <v>17.440000000000001</v>
      </c>
      <c r="F179" s="372">
        <f t="shared" ref="F179:F210" si="99">C179*(E179-D179)</f>
        <v>-29017.579999999998</v>
      </c>
      <c r="G179" s="372">
        <f t="shared" ref="G179:G208" si="100">D179*C179</f>
        <v>91417.900000000009</v>
      </c>
      <c r="H179" s="373">
        <f t="shared" ref="H179:H208" si="101">(E179-D179)/D179</f>
        <v>-0.31741682974559682</v>
      </c>
      <c r="I179" s="372"/>
    </row>
    <row r="180" spans="2:15" x14ac:dyDescent="0.25">
      <c r="B180" s="635">
        <v>42340</v>
      </c>
      <c r="C180" s="371">
        <v>4178</v>
      </c>
      <c r="D180" s="636">
        <v>24.29</v>
      </c>
      <c r="E180" s="372">
        <v>16.670000000000002</v>
      </c>
      <c r="F180" s="372">
        <f t="shared" si="99"/>
        <v>-31836.35999999999</v>
      </c>
      <c r="G180" s="372">
        <f t="shared" si="100"/>
        <v>101483.62</v>
      </c>
      <c r="H180" s="373">
        <f t="shared" si="101"/>
        <v>-0.31370934540963352</v>
      </c>
      <c r="I180" s="372"/>
    </row>
    <row r="181" spans="2:15" x14ac:dyDescent="0.25">
      <c r="B181" s="635">
        <v>42342</v>
      </c>
      <c r="C181" s="371">
        <v>4678</v>
      </c>
      <c r="D181" s="636">
        <v>23.39</v>
      </c>
      <c r="E181" s="372">
        <v>16.12</v>
      </c>
      <c r="F181" s="372">
        <f t="shared" si="99"/>
        <v>-34009.06</v>
      </c>
      <c r="G181" s="372">
        <f t="shared" si="100"/>
        <v>109418.42</v>
      </c>
      <c r="H181" s="373">
        <f t="shared" si="101"/>
        <v>-0.31081658828559211</v>
      </c>
      <c r="I181" s="372"/>
      <c r="O181" s="2"/>
    </row>
    <row r="182" spans="2:15" x14ac:dyDescent="0.25">
      <c r="B182" s="635">
        <v>42342</v>
      </c>
      <c r="C182" s="371">
        <v>4178</v>
      </c>
      <c r="D182" s="636">
        <v>24.26</v>
      </c>
      <c r="E182" s="372">
        <v>16.12</v>
      </c>
      <c r="F182" s="372">
        <f t="shared" si="99"/>
        <v>-34008.920000000006</v>
      </c>
      <c r="G182" s="372">
        <f t="shared" si="100"/>
        <v>101358.28000000001</v>
      </c>
      <c r="H182" s="373">
        <f t="shared" si="101"/>
        <v>-0.33553173948887055</v>
      </c>
      <c r="I182" s="372"/>
    </row>
    <row r="183" spans="2:15" ht="15" customHeight="1" x14ac:dyDescent="0.25">
      <c r="B183" s="635">
        <v>42345</v>
      </c>
      <c r="C183" s="371">
        <v>4678</v>
      </c>
      <c r="D183" s="636">
        <v>23.24</v>
      </c>
      <c r="E183" s="372">
        <v>14.78</v>
      </c>
      <c r="F183" s="372">
        <f t="shared" si="99"/>
        <v>-39575.879999999997</v>
      </c>
      <c r="G183" s="372">
        <f t="shared" si="100"/>
        <v>108716.71999999999</v>
      </c>
      <c r="H183" s="373">
        <f t="shared" si="101"/>
        <v>-0.36402753872633387</v>
      </c>
      <c r="I183" s="372"/>
    </row>
    <row r="184" spans="2:15" x14ac:dyDescent="0.25">
      <c r="B184" s="635">
        <v>42347</v>
      </c>
      <c r="C184" s="371">
        <v>4778</v>
      </c>
      <c r="D184" s="636">
        <v>23.06</v>
      </c>
      <c r="E184" s="372">
        <v>14.92</v>
      </c>
      <c r="F184" s="372">
        <f t="shared" si="99"/>
        <v>-38892.919999999991</v>
      </c>
      <c r="G184" s="372">
        <f t="shared" si="100"/>
        <v>110180.68</v>
      </c>
      <c r="H184" s="373">
        <f t="shared" si="101"/>
        <v>-0.3529921942758022</v>
      </c>
      <c r="I184" s="372"/>
    </row>
    <row r="185" spans="2:15" x14ac:dyDescent="0.25">
      <c r="B185" s="635">
        <v>42348</v>
      </c>
      <c r="C185" s="371">
        <v>4178</v>
      </c>
      <c r="D185" s="636">
        <v>24.23</v>
      </c>
      <c r="E185" s="372">
        <v>14.74</v>
      </c>
      <c r="F185" s="372">
        <f t="shared" si="99"/>
        <v>-39649.22</v>
      </c>
      <c r="G185" s="372">
        <f t="shared" si="100"/>
        <v>101232.94</v>
      </c>
      <c r="H185" s="373">
        <f t="shared" si="101"/>
        <v>-0.39166322740404458</v>
      </c>
      <c r="I185" s="372"/>
    </row>
    <row r="186" spans="2:15" x14ac:dyDescent="0.25">
      <c r="B186" s="635">
        <v>42349</v>
      </c>
      <c r="C186" s="371">
        <v>3678</v>
      </c>
      <c r="D186" s="636">
        <v>25.57</v>
      </c>
      <c r="E186" s="372">
        <v>14.34</v>
      </c>
      <c r="F186" s="372">
        <f t="shared" si="99"/>
        <v>-41303.94</v>
      </c>
      <c r="G186" s="372">
        <f t="shared" si="100"/>
        <v>94046.46</v>
      </c>
      <c r="H186" s="373">
        <f t="shared" si="101"/>
        <v>-0.43918654673445445</v>
      </c>
      <c r="I186" s="372"/>
    </row>
    <row r="187" spans="2:15" x14ac:dyDescent="0.25">
      <c r="B187" s="635">
        <v>42352</v>
      </c>
      <c r="C187" s="371">
        <v>4178</v>
      </c>
      <c r="D187" s="636">
        <v>24.18</v>
      </c>
      <c r="E187" s="372">
        <v>13.96</v>
      </c>
      <c r="F187" s="372">
        <f t="shared" si="99"/>
        <v>-42699.159999999996</v>
      </c>
      <c r="G187" s="372">
        <f t="shared" si="100"/>
        <v>101024.04</v>
      </c>
      <c r="H187" s="373">
        <f t="shared" si="101"/>
        <v>-0.42266335814722905</v>
      </c>
      <c r="I187" s="372"/>
    </row>
    <row r="188" spans="2:15" x14ac:dyDescent="0.25">
      <c r="B188" s="635">
        <v>42355</v>
      </c>
      <c r="C188" s="371">
        <v>4678</v>
      </c>
      <c r="D188" s="636">
        <v>22.98</v>
      </c>
      <c r="E188" s="372">
        <v>12.78</v>
      </c>
      <c r="F188" s="372">
        <f t="shared" si="99"/>
        <v>-47715.600000000006</v>
      </c>
      <c r="G188" s="372">
        <f t="shared" si="100"/>
        <v>107500.44</v>
      </c>
      <c r="H188" s="373">
        <f t="shared" si="101"/>
        <v>-0.44386422976501311</v>
      </c>
      <c r="I188" s="372"/>
    </row>
    <row r="189" spans="2:15" x14ac:dyDescent="0.25">
      <c r="B189" s="635">
        <v>42356</v>
      </c>
      <c r="C189" s="371">
        <v>5178</v>
      </c>
      <c r="D189" s="636">
        <v>21.99</v>
      </c>
      <c r="E189" s="372">
        <v>12.95</v>
      </c>
      <c r="F189" s="372">
        <f t="shared" si="99"/>
        <v>-46809.119999999995</v>
      </c>
      <c r="G189" s="372">
        <f t="shared" si="100"/>
        <v>113864.21999999999</v>
      </c>
      <c r="H189" s="373">
        <f t="shared" si="101"/>
        <v>-0.41109595270577537</v>
      </c>
      <c r="I189" s="372"/>
    </row>
    <row r="190" spans="2:15" x14ac:dyDescent="0.25">
      <c r="B190" s="635">
        <v>42356</v>
      </c>
      <c r="C190" s="371">
        <v>6178</v>
      </c>
      <c r="D190" s="636">
        <v>20.48</v>
      </c>
      <c r="E190" s="372">
        <v>12.76</v>
      </c>
      <c r="F190" s="372">
        <f t="shared" si="99"/>
        <v>-47694.16</v>
      </c>
      <c r="G190" s="372">
        <f t="shared" si="100"/>
        <v>126525.44</v>
      </c>
      <c r="H190" s="373">
        <f t="shared" si="101"/>
        <v>-0.376953125</v>
      </c>
      <c r="I190" s="372"/>
    </row>
    <row r="191" spans="2:15" x14ac:dyDescent="0.25">
      <c r="B191" s="635">
        <v>42356</v>
      </c>
      <c r="C191" s="371">
        <v>6400</v>
      </c>
      <c r="D191" s="636">
        <v>20.2</v>
      </c>
      <c r="E191" s="372">
        <v>12.68</v>
      </c>
      <c r="F191" s="372">
        <f t="shared" si="99"/>
        <v>-48128</v>
      </c>
      <c r="G191" s="372">
        <f t="shared" si="100"/>
        <v>129280</v>
      </c>
      <c r="H191" s="373">
        <f t="shared" si="101"/>
        <v>-0.37227722772277227</v>
      </c>
      <c r="I191" s="372"/>
    </row>
    <row r="192" spans="2:15" x14ac:dyDescent="0.25">
      <c r="B192" s="635">
        <v>42359</v>
      </c>
      <c r="C192" s="371">
        <v>5178</v>
      </c>
      <c r="D192" s="636">
        <v>21.96</v>
      </c>
      <c r="E192" s="372">
        <v>12.66</v>
      </c>
      <c r="F192" s="372">
        <f t="shared" si="99"/>
        <v>-48155.4</v>
      </c>
      <c r="G192" s="372">
        <f t="shared" si="100"/>
        <v>113708.88</v>
      </c>
      <c r="H192" s="373">
        <f t="shared" si="101"/>
        <v>-0.42349726775956287</v>
      </c>
      <c r="I192" s="372"/>
    </row>
    <row r="193" spans="2:9" x14ac:dyDescent="0.25">
      <c r="B193" s="635">
        <v>42361</v>
      </c>
      <c r="C193" s="371">
        <v>4178</v>
      </c>
      <c r="D193" s="636">
        <v>24.07</v>
      </c>
      <c r="E193" s="372">
        <v>13.96</v>
      </c>
      <c r="F193" s="372">
        <f t="shared" si="99"/>
        <v>-42239.579999999994</v>
      </c>
      <c r="G193" s="372">
        <f t="shared" si="100"/>
        <v>100564.46</v>
      </c>
      <c r="H193" s="373">
        <f t="shared" si="101"/>
        <v>-0.42002492729538843</v>
      </c>
      <c r="I193" s="372"/>
    </row>
    <row r="194" spans="2:9" x14ac:dyDescent="0.25">
      <c r="B194" s="635">
        <v>42361</v>
      </c>
      <c r="C194" s="371">
        <v>4178</v>
      </c>
      <c r="D194" s="636">
        <v>24.03</v>
      </c>
      <c r="E194" s="372">
        <v>13.96</v>
      </c>
      <c r="F194" s="372">
        <f t="shared" si="99"/>
        <v>-42072.46</v>
      </c>
      <c r="G194" s="372">
        <f t="shared" si="100"/>
        <v>100397.34000000001</v>
      </c>
      <c r="H194" s="373">
        <f t="shared" si="101"/>
        <v>-0.41905950894714938</v>
      </c>
      <c r="I194" s="372"/>
    </row>
    <row r="195" spans="2:9" x14ac:dyDescent="0.25">
      <c r="B195" s="635">
        <v>42366</v>
      </c>
      <c r="C195" s="392">
        <v>6678</v>
      </c>
      <c r="D195" s="637">
        <v>19.91</v>
      </c>
      <c r="E195" s="372">
        <v>13.09</v>
      </c>
      <c r="F195" s="372">
        <f t="shared" si="99"/>
        <v>-45543.96</v>
      </c>
      <c r="G195" s="372">
        <f t="shared" si="100"/>
        <v>132958.98000000001</v>
      </c>
      <c r="H195" s="373">
        <f t="shared" si="101"/>
        <v>-0.34254143646408841</v>
      </c>
      <c r="I195" s="372"/>
    </row>
    <row r="196" spans="2:9" x14ac:dyDescent="0.25">
      <c r="B196" s="635">
        <v>42367</v>
      </c>
      <c r="C196" s="392">
        <v>8678</v>
      </c>
      <c r="D196" s="637">
        <v>18.32</v>
      </c>
      <c r="E196" s="372">
        <v>13.03</v>
      </c>
      <c r="F196" s="372">
        <f t="shared" si="99"/>
        <v>-45906.62000000001</v>
      </c>
      <c r="G196" s="372">
        <f t="shared" si="100"/>
        <v>158980.96</v>
      </c>
      <c r="H196" s="373">
        <f t="shared" si="101"/>
        <v>-0.28875545851528389</v>
      </c>
      <c r="I196" s="372"/>
    </row>
    <row r="197" spans="2:9" x14ac:dyDescent="0.25">
      <c r="B197" s="635">
        <v>42368</v>
      </c>
      <c r="C197" s="371">
        <v>9678</v>
      </c>
      <c r="D197" s="636">
        <v>17.73</v>
      </c>
      <c r="E197" s="372">
        <v>12.38</v>
      </c>
      <c r="F197" s="372">
        <f t="shared" si="99"/>
        <v>-51777.299999999996</v>
      </c>
      <c r="G197" s="372">
        <f t="shared" si="100"/>
        <v>171590.94</v>
      </c>
      <c r="H197" s="374">
        <f t="shared" si="101"/>
        <v>-0.30174844895657077</v>
      </c>
      <c r="I197" s="372"/>
    </row>
    <row r="198" spans="2:9" x14ac:dyDescent="0.25">
      <c r="B198" s="635">
        <v>42369</v>
      </c>
      <c r="C198" s="371">
        <v>8678</v>
      </c>
      <c r="D198" s="636">
        <v>18.312999999999999</v>
      </c>
      <c r="E198" s="372">
        <v>12.59</v>
      </c>
      <c r="F198" s="372">
        <f t="shared" si="99"/>
        <v>-49664.193999999989</v>
      </c>
      <c r="G198" s="372">
        <f t="shared" si="100"/>
        <v>158920.21399999998</v>
      </c>
      <c r="H198" s="374">
        <f t="shared" si="101"/>
        <v>-0.3125102386282968</v>
      </c>
      <c r="I198" s="372"/>
    </row>
    <row r="199" spans="2:9" x14ac:dyDescent="0.25">
      <c r="B199" s="635">
        <v>42374</v>
      </c>
      <c r="C199" s="371">
        <v>7678</v>
      </c>
      <c r="D199" s="636">
        <v>19.010000000000002</v>
      </c>
      <c r="E199" s="372">
        <v>12.76</v>
      </c>
      <c r="F199" s="372">
        <f t="shared" si="99"/>
        <v>-47987.500000000015</v>
      </c>
      <c r="G199" s="372">
        <f t="shared" si="100"/>
        <v>145958.78</v>
      </c>
      <c r="H199" s="374">
        <f t="shared" si="101"/>
        <v>-0.32877432930036832</v>
      </c>
      <c r="I199" s="372"/>
    </row>
    <row r="200" spans="2:9" x14ac:dyDescent="0.25">
      <c r="B200" s="635">
        <v>42375</v>
      </c>
      <c r="C200" s="371">
        <v>8678</v>
      </c>
      <c r="D200" s="636">
        <v>18.257000000000001</v>
      </c>
      <c r="E200" s="372">
        <v>12.76</v>
      </c>
      <c r="F200" s="372">
        <f t="shared" si="99"/>
        <v>-47702.966000000015</v>
      </c>
      <c r="G200" s="372">
        <f t="shared" si="100"/>
        <v>158434.24600000001</v>
      </c>
      <c r="H200" s="374">
        <f t="shared" si="101"/>
        <v>-0.30108999287944355</v>
      </c>
      <c r="I200" s="372"/>
    </row>
    <row r="201" spans="2:9" x14ac:dyDescent="0.25">
      <c r="B201" s="635">
        <v>42375</v>
      </c>
      <c r="C201" s="371">
        <v>9678</v>
      </c>
      <c r="D201" s="636">
        <v>17.579999999999998</v>
      </c>
      <c r="E201" s="372">
        <v>11.28</v>
      </c>
      <c r="F201" s="372">
        <f t="shared" si="99"/>
        <v>-60971.399999999987</v>
      </c>
      <c r="G201" s="372">
        <f t="shared" si="100"/>
        <v>170139.24</v>
      </c>
      <c r="H201" s="374">
        <f t="shared" si="101"/>
        <v>-0.35836177474402725</v>
      </c>
      <c r="I201" s="372"/>
    </row>
    <row r="202" spans="2:9" x14ac:dyDescent="0.25">
      <c r="B202" s="635">
        <v>42398</v>
      </c>
      <c r="C202" s="371">
        <v>9278</v>
      </c>
      <c r="D202" s="636">
        <v>17.93</v>
      </c>
      <c r="E202" s="372">
        <v>9.56</v>
      </c>
      <c r="F202" s="372">
        <f t="shared" si="99"/>
        <v>-77656.859999999986</v>
      </c>
      <c r="G202" s="372">
        <f t="shared" si="100"/>
        <v>166354.54</v>
      </c>
      <c r="H202" s="374">
        <f t="shared" si="101"/>
        <v>-0.46681539319576126</v>
      </c>
      <c r="I202" s="372"/>
    </row>
    <row r="203" spans="2:9" x14ac:dyDescent="0.25">
      <c r="B203" s="635">
        <v>42402</v>
      </c>
      <c r="C203" s="371">
        <v>9678</v>
      </c>
      <c r="D203" s="636">
        <v>17.559999999999999</v>
      </c>
      <c r="E203" s="372">
        <v>8.74</v>
      </c>
      <c r="F203" s="372">
        <f t="shared" si="99"/>
        <v>-85359.959999999992</v>
      </c>
      <c r="G203" s="372">
        <f t="shared" si="100"/>
        <v>169945.68</v>
      </c>
      <c r="H203" s="374">
        <f t="shared" si="101"/>
        <v>-0.50227790432801822</v>
      </c>
      <c r="I203" s="372"/>
    </row>
    <row r="204" spans="2:9" ht="15" customHeight="1" x14ac:dyDescent="0.25">
      <c r="B204" s="635">
        <v>42411</v>
      </c>
      <c r="C204" s="371">
        <v>9678</v>
      </c>
      <c r="D204" s="636">
        <v>17.553999999999998</v>
      </c>
      <c r="E204" s="372">
        <v>7.13</v>
      </c>
      <c r="F204" s="372">
        <f t="shared" si="99"/>
        <v>-100883.47199999999</v>
      </c>
      <c r="G204" s="372">
        <f t="shared" si="100"/>
        <v>169887.61199999999</v>
      </c>
      <c r="H204" s="373">
        <f t="shared" si="101"/>
        <v>-0.59382476928335426</v>
      </c>
      <c r="I204" s="372"/>
    </row>
    <row r="205" spans="2:9" x14ac:dyDescent="0.25">
      <c r="B205" s="635">
        <v>42412</v>
      </c>
      <c r="C205" s="371">
        <v>9678</v>
      </c>
      <c r="D205" s="636">
        <v>17.55</v>
      </c>
      <c r="E205" s="372">
        <v>7.46</v>
      </c>
      <c r="F205" s="372">
        <f t="shared" si="99"/>
        <v>-97651.02</v>
      </c>
      <c r="G205" s="372">
        <f t="shared" si="100"/>
        <v>169848.9</v>
      </c>
      <c r="H205" s="373">
        <f t="shared" si="101"/>
        <v>-0.57492877492877492</v>
      </c>
      <c r="I205" s="372"/>
    </row>
    <row r="206" spans="2:9" x14ac:dyDescent="0.25">
      <c r="B206" s="635">
        <v>42416</v>
      </c>
      <c r="C206" s="371">
        <v>9178</v>
      </c>
      <c r="D206" s="636">
        <v>18.084</v>
      </c>
      <c r="E206" s="372">
        <v>7.49</v>
      </c>
      <c r="F206" s="372">
        <f t="shared" si="99"/>
        <v>-97231.731999999989</v>
      </c>
      <c r="G206" s="372">
        <f t="shared" si="100"/>
        <v>165974.95199999999</v>
      </c>
      <c r="H206" s="373">
        <f t="shared" si="101"/>
        <v>-0.58582172085821715</v>
      </c>
      <c r="I206" s="372"/>
    </row>
    <row r="207" spans="2:9" x14ac:dyDescent="0.25">
      <c r="B207" s="635">
        <v>42416</v>
      </c>
      <c r="C207" s="371">
        <v>9678</v>
      </c>
      <c r="D207" s="636">
        <v>17.536999999999999</v>
      </c>
      <c r="E207" s="372">
        <v>7.49</v>
      </c>
      <c r="F207" s="372">
        <f t="shared" si="99"/>
        <v>-97234.865999999995</v>
      </c>
      <c r="G207" s="372">
        <f t="shared" si="100"/>
        <v>169723.08599999998</v>
      </c>
      <c r="H207" s="373">
        <f t="shared" si="101"/>
        <v>-0.57290300507498426</v>
      </c>
      <c r="I207" s="372"/>
    </row>
    <row r="208" spans="2:9" x14ac:dyDescent="0.25">
      <c r="B208" s="635">
        <v>42418</v>
      </c>
      <c r="C208" s="371">
        <v>13478</v>
      </c>
      <c r="D208" s="636">
        <v>14.673999999999999</v>
      </c>
      <c r="E208" s="372">
        <v>6.93</v>
      </c>
      <c r="F208" s="372">
        <f t="shared" si="99"/>
        <v>-104373.632</v>
      </c>
      <c r="G208" s="372">
        <f t="shared" si="100"/>
        <v>197776.17199999999</v>
      </c>
      <c r="H208" s="373">
        <f t="shared" si="101"/>
        <v>-0.52773613193403301</v>
      </c>
      <c r="I208" s="372"/>
    </row>
    <row r="209" spans="2:16" x14ac:dyDescent="0.25">
      <c r="B209" s="635">
        <v>42422</v>
      </c>
      <c r="C209" s="371">
        <v>10978</v>
      </c>
      <c r="D209" s="636">
        <v>16.314</v>
      </c>
      <c r="E209" s="372">
        <v>7.49</v>
      </c>
      <c r="F209" s="372">
        <f t="shared" si="99"/>
        <v>-96869.872000000003</v>
      </c>
      <c r="G209" s="372">
        <f>IF(C209=0, 0,D209*C209)</f>
        <v>179095.092</v>
      </c>
      <c r="H209" s="373">
        <f>IF(C209=0, D209, (E209-D209)/D209)</f>
        <v>-0.54088512933676591</v>
      </c>
      <c r="I209" s="372"/>
    </row>
    <row r="210" spans="2:16" x14ac:dyDescent="0.25">
      <c r="B210" s="635">
        <v>42422</v>
      </c>
      <c r="C210" s="371">
        <v>9978</v>
      </c>
      <c r="D210" s="636">
        <v>17.199000000000002</v>
      </c>
      <c r="E210" s="372">
        <v>7.49</v>
      </c>
      <c r="F210" s="372">
        <f t="shared" si="99"/>
        <v>-96876.402000000016</v>
      </c>
      <c r="G210" s="372">
        <f>IF(C210=0, 0,D210*C210)</f>
        <v>171611.622</v>
      </c>
      <c r="H210" s="373">
        <f>IF(C210=0, D210, (E210-D210)/D210)</f>
        <v>-0.56450956450956458</v>
      </c>
      <c r="I210" s="372"/>
    </row>
    <row r="211" spans="2:16" x14ac:dyDescent="0.25">
      <c r="B211" s="635">
        <v>42426</v>
      </c>
      <c r="C211" s="371">
        <v>9678</v>
      </c>
      <c r="D211" s="636">
        <v>17.489000000000001</v>
      </c>
      <c r="E211" s="372">
        <v>7.49</v>
      </c>
      <c r="F211" s="372">
        <f t="shared" ref="F211:F219" si="102">C211*(E211-D211)</f>
        <v>-96770.322</v>
      </c>
      <c r="G211" s="372">
        <f>IF(C211=0, 0,D211*C211)</f>
        <v>169258.54200000002</v>
      </c>
      <c r="H211" s="373">
        <f>IF(C211=0, D211, (E211-D211)/D211)</f>
        <v>-0.57173080221853734</v>
      </c>
      <c r="I211" s="372"/>
    </row>
    <row r="212" spans="2:16" x14ac:dyDescent="0.25">
      <c r="B212" s="635">
        <v>42426</v>
      </c>
      <c r="C212" s="371">
        <v>9178</v>
      </c>
      <c r="D212" s="636">
        <v>18.02</v>
      </c>
      <c r="E212" s="372">
        <v>7.76</v>
      </c>
      <c r="F212" s="372">
        <f t="shared" si="102"/>
        <v>-94166.28</v>
      </c>
      <c r="G212" s="372">
        <f t="shared" ref="G212:G219" si="103">IF(C212=0, 0,D212*C212)</f>
        <v>165387.56</v>
      </c>
      <c r="H212" s="373">
        <f t="shared" ref="H212:H219" si="104">IF(C212=0, D212, (E212-D212)/D212)</f>
        <v>-0.5693673695893452</v>
      </c>
      <c r="I212" s="372"/>
    </row>
    <row r="213" spans="2:16" ht="15" customHeight="1" x14ac:dyDescent="0.25">
      <c r="B213" s="635">
        <v>42426</v>
      </c>
      <c r="C213" s="371">
        <v>8178</v>
      </c>
      <c r="D213" s="636">
        <v>19.245999999999999</v>
      </c>
      <c r="E213" s="372">
        <v>8</v>
      </c>
      <c r="F213" s="372">
        <f t="shared" si="102"/>
        <v>-91969.787999999986</v>
      </c>
      <c r="G213" s="372">
        <f t="shared" si="103"/>
        <v>157393.788</v>
      </c>
      <c r="H213" s="373">
        <f t="shared" si="104"/>
        <v>-0.58432921126467829</v>
      </c>
      <c r="I213" s="372"/>
    </row>
    <row r="214" spans="2:16" ht="15" customHeight="1" x14ac:dyDescent="0.25">
      <c r="B214" s="635">
        <v>42426</v>
      </c>
      <c r="C214" s="371">
        <v>6678</v>
      </c>
      <c r="D214" s="636">
        <v>21.75</v>
      </c>
      <c r="E214" s="372">
        <v>8.1</v>
      </c>
      <c r="F214" s="372">
        <f t="shared" si="102"/>
        <v>-91154.7</v>
      </c>
      <c r="G214" s="372">
        <f t="shared" si="103"/>
        <v>145246.5</v>
      </c>
      <c r="H214" s="373">
        <f t="shared" si="104"/>
        <v>-0.62758620689655176</v>
      </c>
      <c r="I214" s="372"/>
    </row>
    <row r="215" spans="2:16" x14ac:dyDescent="0.25">
      <c r="B215" s="635">
        <v>42426</v>
      </c>
      <c r="C215" s="371">
        <v>8678</v>
      </c>
      <c r="D215" s="636">
        <v>18.568999999999999</v>
      </c>
      <c r="E215" s="372">
        <v>7.94</v>
      </c>
      <c r="F215" s="372">
        <f t="shared" si="102"/>
        <v>-92238.461999999985</v>
      </c>
      <c r="G215" s="372">
        <f t="shared" si="103"/>
        <v>161141.78199999998</v>
      </c>
      <c r="H215" s="373">
        <f t="shared" si="104"/>
        <v>-0.57240562227368186</v>
      </c>
      <c r="I215" s="372"/>
    </row>
    <row r="216" spans="2:16" x14ac:dyDescent="0.25">
      <c r="B216" s="635">
        <v>42429</v>
      </c>
      <c r="C216" s="371">
        <v>7678</v>
      </c>
      <c r="D216" s="636">
        <v>19.876000000000001</v>
      </c>
      <c r="E216" s="372">
        <v>8.2100000000000009</v>
      </c>
      <c r="F216" s="372">
        <f t="shared" si="102"/>
        <v>-89571.54800000001</v>
      </c>
      <c r="G216" s="372">
        <f t="shared" si="103"/>
        <v>152607.92800000001</v>
      </c>
      <c r="H216" s="373">
        <f t="shared" si="104"/>
        <v>-0.58693902193600322</v>
      </c>
      <c r="I216" s="372"/>
    </row>
    <row r="217" spans="2:16" x14ac:dyDescent="0.25">
      <c r="B217" s="635">
        <v>42429</v>
      </c>
      <c r="C217" s="371">
        <v>9678</v>
      </c>
      <c r="D217" s="636">
        <v>17.463000000000001</v>
      </c>
      <c r="E217" s="372">
        <v>8.2100000000000009</v>
      </c>
      <c r="F217" s="372">
        <f t="shared" si="102"/>
        <v>-89550.534</v>
      </c>
      <c r="G217" s="372">
        <f t="shared" si="103"/>
        <v>169006.91400000002</v>
      </c>
      <c r="H217" s="373">
        <f t="shared" si="104"/>
        <v>-0.5298631392086125</v>
      </c>
      <c r="I217" s="372"/>
    </row>
    <row r="218" spans="2:16" x14ac:dyDescent="0.25">
      <c r="B218" s="635">
        <v>42429</v>
      </c>
      <c r="C218" s="371">
        <v>9178</v>
      </c>
      <c r="D218" s="636">
        <v>17.981000000000002</v>
      </c>
      <c r="E218" s="372">
        <v>8.2100000000000009</v>
      </c>
      <c r="F218" s="372">
        <f t="shared" si="102"/>
        <v>-89678.238000000012</v>
      </c>
      <c r="G218" s="372">
        <f t="shared" si="103"/>
        <v>165029.61800000002</v>
      </c>
      <c r="H218" s="373">
        <f t="shared" si="104"/>
        <v>-0.5434069295367332</v>
      </c>
      <c r="I218" s="372"/>
    </row>
    <row r="219" spans="2:16" x14ac:dyDescent="0.25">
      <c r="B219" s="635">
        <v>42429</v>
      </c>
      <c r="C219" s="371">
        <v>9678</v>
      </c>
      <c r="D219" s="636">
        <v>17.459</v>
      </c>
      <c r="E219" s="372">
        <v>8.2100000000000009</v>
      </c>
      <c r="F219" s="372">
        <f t="shared" si="102"/>
        <v>-89511.821999999986</v>
      </c>
      <c r="G219" s="372">
        <f t="shared" si="103"/>
        <v>168968.20199999999</v>
      </c>
      <c r="H219" s="373">
        <f t="shared" si="104"/>
        <v>-0.5297554270004009</v>
      </c>
      <c r="I219" s="372"/>
    </row>
    <row r="220" spans="2:16" x14ac:dyDescent="0.25">
      <c r="B220" s="635">
        <v>42429</v>
      </c>
      <c r="C220" s="371">
        <v>9178</v>
      </c>
      <c r="D220" s="636">
        <v>17.975999999999999</v>
      </c>
      <c r="E220" s="372">
        <v>8.2100000000000009</v>
      </c>
      <c r="F220" s="372">
        <f t="shared" ref="F220:F231" si="105">C220*(E220-D220)</f>
        <v>-89632.347999999984</v>
      </c>
      <c r="G220" s="372">
        <f t="shared" ref="G220:G231" si="106">IF(C220=0, 0,D220*C220)</f>
        <v>164983.728</v>
      </c>
      <c r="H220" s="373">
        <f t="shared" ref="H220:H271" si="107">IF(C220=0, D220, (E220-D220)/D220)</f>
        <v>-0.54327992879394738</v>
      </c>
      <c r="I220" s="372" t="s">
        <v>186</v>
      </c>
    </row>
    <row r="221" spans="2:16" x14ac:dyDescent="0.25">
      <c r="B221" s="635">
        <v>42430</v>
      </c>
      <c r="C221" s="392">
        <v>10178</v>
      </c>
      <c r="D221" s="637">
        <v>16.974</v>
      </c>
      <c r="E221" s="372">
        <v>7.8</v>
      </c>
      <c r="F221" s="372">
        <f t="shared" si="105"/>
        <v>-93372.971999999994</v>
      </c>
      <c r="G221" s="372">
        <f t="shared" si="106"/>
        <v>172761.372</v>
      </c>
      <c r="H221" s="373">
        <f t="shared" si="107"/>
        <v>-0.54047366560622123</v>
      </c>
      <c r="I221" s="372"/>
      <c r="P221" s="70"/>
    </row>
    <row r="222" spans="2:16" x14ac:dyDescent="0.25">
      <c r="B222" s="635">
        <v>42430</v>
      </c>
      <c r="C222" s="392">
        <v>9678</v>
      </c>
      <c r="D222" s="637">
        <v>17.440000000000001</v>
      </c>
      <c r="E222" s="372">
        <v>7.96</v>
      </c>
      <c r="F222" s="372">
        <f t="shared" si="105"/>
        <v>-91747.44</v>
      </c>
      <c r="G222" s="372">
        <f t="shared" si="106"/>
        <v>168784.32</v>
      </c>
      <c r="H222" s="373">
        <f t="shared" si="107"/>
        <v>-0.54357798165137616</v>
      </c>
      <c r="I222" s="372"/>
      <c r="P222" s="70"/>
    </row>
    <row r="223" spans="2:16" x14ac:dyDescent="0.25">
      <c r="B223" s="635">
        <v>42431</v>
      </c>
      <c r="C223" s="371">
        <v>8678</v>
      </c>
      <c r="D223" s="636">
        <v>18.405999999999999</v>
      </c>
      <c r="E223" s="372">
        <v>9.1</v>
      </c>
      <c r="F223" s="372">
        <f t="shared" si="105"/>
        <v>-80757.467999999993</v>
      </c>
      <c r="G223" s="372">
        <f t="shared" si="106"/>
        <v>159727.26799999998</v>
      </c>
      <c r="H223" s="374">
        <f t="shared" si="107"/>
        <v>-0.50559600130392257</v>
      </c>
      <c r="I223" s="372"/>
    </row>
    <row r="224" spans="2:16" x14ac:dyDescent="0.25">
      <c r="B224" s="635">
        <v>42432</v>
      </c>
      <c r="C224" s="371">
        <v>9278</v>
      </c>
      <c r="D224" s="636">
        <v>17.771999999999998</v>
      </c>
      <c r="E224" s="372">
        <v>9.9700000000000006</v>
      </c>
      <c r="F224" s="372">
        <f t="shared" si="105"/>
        <v>-72386.955999999976</v>
      </c>
      <c r="G224" s="372">
        <f t="shared" si="106"/>
        <v>164888.61599999998</v>
      </c>
      <c r="H224" s="374">
        <f t="shared" si="107"/>
        <v>-0.43900517668242173</v>
      </c>
      <c r="I224" s="372"/>
    </row>
    <row r="225" spans="2:17" x14ac:dyDescent="0.25">
      <c r="B225" s="635">
        <v>42433</v>
      </c>
      <c r="C225" s="371">
        <v>9278</v>
      </c>
      <c r="D225" s="636">
        <v>17.771999999999998</v>
      </c>
      <c r="E225" s="372">
        <v>11</v>
      </c>
      <c r="F225" s="372">
        <f t="shared" si="105"/>
        <v>-62830.615999999987</v>
      </c>
      <c r="G225" s="372">
        <f t="shared" si="106"/>
        <v>164888.61599999998</v>
      </c>
      <c r="H225" s="374">
        <f t="shared" si="107"/>
        <v>-0.38104884087328378</v>
      </c>
      <c r="I225" s="372"/>
    </row>
    <row r="226" spans="2:17" x14ac:dyDescent="0.25">
      <c r="B226" s="635">
        <v>42439</v>
      </c>
      <c r="C226" s="371">
        <v>9278</v>
      </c>
      <c r="D226" s="636">
        <v>17.718</v>
      </c>
      <c r="E226" s="372">
        <v>10.59</v>
      </c>
      <c r="F226" s="372">
        <f t="shared" si="105"/>
        <v>-66133.584000000003</v>
      </c>
      <c r="G226" s="372">
        <f t="shared" si="106"/>
        <v>164387.60399999999</v>
      </c>
      <c r="H226" s="374">
        <f t="shared" si="107"/>
        <v>-0.40230274297324753</v>
      </c>
      <c r="I226" s="372" t="s">
        <v>185</v>
      </c>
    </row>
    <row r="227" spans="2:17" x14ac:dyDescent="0.25">
      <c r="B227" s="635">
        <v>42440</v>
      </c>
      <c r="C227" s="371">
        <v>9278</v>
      </c>
      <c r="D227" s="636">
        <v>17.712</v>
      </c>
      <c r="E227" s="372">
        <v>11.12</v>
      </c>
      <c r="F227" s="372">
        <f t="shared" si="105"/>
        <v>-61160.576000000008</v>
      </c>
      <c r="G227" s="372">
        <f t="shared" si="106"/>
        <v>164331.93599999999</v>
      </c>
      <c r="H227" s="374">
        <f t="shared" si="107"/>
        <v>-0.37217705510388438</v>
      </c>
      <c r="I227" s="372"/>
      <c r="N227" s="70"/>
    </row>
    <row r="228" spans="2:17" ht="15" customHeight="1" x14ac:dyDescent="0.25">
      <c r="B228" s="635">
        <v>42446</v>
      </c>
      <c r="C228" s="371">
        <v>9278</v>
      </c>
      <c r="D228" s="636">
        <v>17.704999999999998</v>
      </c>
      <c r="E228" s="372">
        <v>11.45</v>
      </c>
      <c r="F228" s="372">
        <f t="shared" si="105"/>
        <v>-58033.889999999992</v>
      </c>
      <c r="G228" s="372">
        <f t="shared" si="106"/>
        <v>164266.99</v>
      </c>
      <c r="H228" s="374">
        <f t="shared" si="107"/>
        <v>-0.353290031064671</v>
      </c>
      <c r="I228" s="372"/>
    </row>
    <row r="229" spans="2:17" ht="18.75" customHeight="1" x14ac:dyDescent="0.25">
      <c r="B229" s="635">
        <v>42447</v>
      </c>
      <c r="C229" s="371">
        <v>7928</v>
      </c>
      <c r="D229" s="636">
        <v>18.734999999999999</v>
      </c>
      <c r="E229" s="372">
        <v>11.63</v>
      </c>
      <c r="F229" s="372">
        <f t="shared" si="105"/>
        <v>-56328.439999999988</v>
      </c>
      <c r="G229" s="372">
        <f t="shared" si="106"/>
        <v>148531.07999999999</v>
      </c>
      <c r="H229" s="374">
        <f t="shared" si="107"/>
        <v>-0.37923672271150249</v>
      </c>
      <c r="I229" s="372"/>
    </row>
    <row r="230" spans="2:17" x14ac:dyDescent="0.25">
      <c r="B230" s="635">
        <v>42450</v>
      </c>
      <c r="C230" s="371">
        <v>9278</v>
      </c>
      <c r="D230" s="636">
        <v>17.670000000000002</v>
      </c>
      <c r="E230" s="372">
        <v>11.43</v>
      </c>
      <c r="F230" s="372">
        <f t="shared" si="105"/>
        <v>-57894.720000000016</v>
      </c>
      <c r="G230" s="372">
        <f t="shared" si="106"/>
        <v>163942.26</v>
      </c>
      <c r="H230" s="373">
        <f t="shared" si="107"/>
        <v>-0.35314091680814946</v>
      </c>
      <c r="I230" s="372"/>
    </row>
    <row r="231" spans="2:17" x14ac:dyDescent="0.25">
      <c r="B231" s="635">
        <v>42451</v>
      </c>
      <c r="C231" s="371">
        <v>9628</v>
      </c>
      <c r="D231" s="636">
        <v>17.428000000000001</v>
      </c>
      <c r="E231" s="372">
        <v>11.31</v>
      </c>
      <c r="F231" s="372">
        <f t="shared" si="105"/>
        <v>-58904.104000000007</v>
      </c>
      <c r="G231" s="372">
        <f t="shared" si="106"/>
        <v>167796.78400000001</v>
      </c>
      <c r="H231" s="373">
        <f t="shared" si="107"/>
        <v>-0.35104429653431263</v>
      </c>
      <c r="I231" s="372"/>
    </row>
    <row r="232" spans="2:17" x14ac:dyDescent="0.25">
      <c r="B232" s="635">
        <v>42453</v>
      </c>
      <c r="C232" s="371">
        <v>13278</v>
      </c>
      <c r="D232" s="636">
        <v>15.5565</v>
      </c>
      <c r="E232" s="372">
        <v>10.29</v>
      </c>
      <c r="F232" s="372">
        <f t="shared" ref="F232:F271" si="108">C232*(E232-D232)</f>
        <v>-69928.587000000014</v>
      </c>
      <c r="G232" s="372">
        <f t="shared" ref="G232:G271" si="109">IF(C232=0, 0,D232*C232)</f>
        <v>206559.20699999999</v>
      </c>
      <c r="H232" s="373">
        <f t="shared" si="107"/>
        <v>-0.33854016006171056</v>
      </c>
      <c r="I232" s="372"/>
    </row>
    <row r="233" spans="2:17" x14ac:dyDescent="0.25">
      <c r="B233" s="635">
        <v>42459</v>
      </c>
      <c r="C233" s="371">
        <v>11278</v>
      </c>
      <c r="D233" s="636">
        <v>16.408899999999999</v>
      </c>
      <c r="E233" s="372">
        <v>10.53</v>
      </c>
      <c r="F233" s="372">
        <f t="shared" si="108"/>
        <v>-66302.234199999992</v>
      </c>
      <c r="G233" s="372">
        <f t="shared" si="109"/>
        <v>185059.5742</v>
      </c>
      <c r="H233" s="373">
        <f t="shared" si="107"/>
        <v>-0.35827508242478168</v>
      </c>
      <c r="I233" s="372"/>
      <c r="P233" s="1"/>
    </row>
    <row r="234" spans="2:17" x14ac:dyDescent="0.25">
      <c r="B234" s="635">
        <v>42460</v>
      </c>
      <c r="C234" s="371">
        <v>9678</v>
      </c>
      <c r="D234" s="636">
        <v>17.311699999999998</v>
      </c>
      <c r="E234" s="372">
        <v>11.14</v>
      </c>
      <c r="F234" s="372">
        <f t="shared" si="108"/>
        <v>-59729.712599999977</v>
      </c>
      <c r="G234" s="372">
        <f t="shared" si="109"/>
        <v>167542.63259999998</v>
      </c>
      <c r="H234" s="373">
        <f t="shared" si="107"/>
        <v>-0.35650456049954643</v>
      </c>
      <c r="I234" s="372"/>
      <c r="Q234" s="70"/>
    </row>
    <row r="235" spans="2:17" x14ac:dyDescent="0.25">
      <c r="B235" s="635">
        <v>42461</v>
      </c>
      <c r="C235" s="371">
        <v>11678</v>
      </c>
      <c r="D235" s="636">
        <v>16.116</v>
      </c>
      <c r="E235" s="372">
        <v>10.53</v>
      </c>
      <c r="F235" s="372">
        <f t="shared" si="108"/>
        <v>-65233.308000000005</v>
      </c>
      <c r="G235" s="372">
        <f t="shared" si="109"/>
        <v>188202.64799999999</v>
      </c>
      <c r="H235" s="373">
        <f t="shared" si="107"/>
        <v>-0.34661206254653765</v>
      </c>
      <c r="I235" s="372"/>
      <c r="P235" s="1"/>
    </row>
    <row r="236" spans="2:17" x14ac:dyDescent="0.25">
      <c r="B236" s="635">
        <v>42461</v>
      </c>
      <c r="C236" s="371">
        <v>9678</v>
      </c>
      <c r="D236" s="636">
        <v>17.266200000000001</v>
      </c>
      <c r="E236" s="372">
        <v>10.56</v>
      </c>
      <c r="F236" s="372">
        <f t="shared" si="108"/>
        <v>-64902.603600000009</v>
      </c>
      <c r="G236" s="372">
        <f t="shared" si="109"/>
        <v>167102.28360000002</v>
      </c>
      <c r="H236" s="373">
        <f t="shared" si="107"/>
        <v>-0.388400458699656</v>
      </c>
      <c r="I236" s="372"/>
      <c r="P236" s="1"/>
      <c r="Q236" s="70"/>
    </row>
    <row r="237" spans="2:17" x14ac:dyDescent="0.25">
      <c r="B237" s="635">
        <v>42464</v>
      </c>
      <c r="C237" s="371">
        <v>9778</v>
      </c>
      <c r="D237" s="636">
        <v>17.196100000000001</v>
      </c>
      <c r="E237" s="372">
        <v>10.4</v>
      </c>
      <c r="F237" s="372">
        <f t="shared" si="108"/>
        <v>-66452.265800000008</v>
      </c>
      <c r="G237" s="372">
        <f t="shared" si="109"/>
        <v>168143.46580000001</v>
      </c>
      <c r="H237" s="373">
        <f t="shared" si="107"/>
        <v>-0.3952117049796175</v>
      </c>
      <c r="I237" s="372"/>
      <c r="P237" s="1"/>
    </row>
    <row r="238" spans="2:17" x14ac:dyDescent="0.25">
      <c r="B238" s="635">
        <v>42465</v>
      </c>
      <c r="C238" s="371">
        <v>9678</v>
      </c>
      <c r="D238" s="636">
        <v>17.262699999999999</v>
      </c>
      <c r="E238" s="372">
        <v>10.63</v>
      </c>
      <c r="F238" s="372">
        <f t="shared" si="108"/>
        <v>-64191.270599999982</v>
      </c>
      <c r="G238" s="372">
        <f t="shared" si="109"/>
        <v>167068.4106</v>
      </c>
      <c r="H238" s="373">
        <f t="shared" si="107"/>
        <v>-0.38422147172806098</v>
      </c>
      <c r="I238" s="372"/>
      <c r="P238" s="1"/>
      <c r="Q238" s="70"/>
    </row>
    <row r="239" spans="2:17" x14ac:dyDescent="0.25">
      <c r="B239" s="635">
        <v>42469</v>
      </c>
      <c r="C239" s="371">
        <v>8678</v>
      </c>
      <c r="D239" s="636">
        <v>17.895700000000001</v>
      </c>
      <c r="E239" s="372">
        <v>11.78</v>
      </c>
      <c r="F239" s="372">
        <f t="shared" si="108"/>
        <v>-53072.044600000016</v>
      </c>
      <c r="G239" s="372">
        <f t="shared" si="109"/>
        <v>155298.88460000002</v>
      </c>
      <c r="H239" s="373">
        <f t="shared" si="107"/>
        <v>-0.34174131215878684</v>
      </c>
      <c r="I239" s="372"/>
      <c r="Q239" s="70"/>
    </row>
    <row r="240" spans="2:17" x14ac:dyDescent="0.25">
      <c r="B240" s="635">
        <v>42471</v>
      </c>
      <c r="C240" s="371">
        <v>9678</v>
      </c>
      <c r="D240" s="636">
        <v>17.2514</v>
      </c>
      <c r="E240" s="372">
        <v>11.67</v>
      </c>
      <c r="F240" s="372">
        <f t="shared" si="108"/>
        <v>-54016.789200000007</v>
      </c>
      <c r="G240" s="372">
        <f t="shared" si="109"/>
        <v>166959.04920000001</v>
      </c>
      <c r="H240" s="373">
        <f t="shared" si="107"/>
        <v>-0.32353316252593994</v>
      </c>
      <c r="I240" s="372"/>
      <c r="P240" s="1"/>
    </row>
    <row r="241" spans="2:14" x14ac:dyDescent="0.25">
      <c r="B241" s="635">
        <v>42472</v>
      </c>
      <c r="C241" s="371">
        <v>8288</v>
      </c>
      <c r="D241" s="636">
        <v>17.96</v>
      </c>
      <c r="E241" s="372">
        <v>13.05</v>
      </c>
      <c r="F241" s="372">
        <f t="shared" si="108"/>
        <v>-40694.080000000002</v>
      </c>
      <c r="G241" s="372">
        <f t="shared" si="109"/>
        <v>148852.48000000001</v>
      </c>
      <c r="H241" s="373">
        <f t="shared" si="107"/>
        <v>-0.27338530066815142</v>
      </c>
      <c r="I241" s="372"/>
    </row>
    <row r="242" spans="2:14" x14ac:dyDescent="0.25">
      <c r="B242" s="635">
        <v>42473</v>
      </c>
      <c r="C242" s="371">
        <v>9258</v>
      </c>
      <c r="D242" s="636">
        <v>17.415800000000001</v>
      </c>
      <c r="E242" s="372">
        <v>12.92</v>
      </c>
      <c r="F242" s="372">
        <f t="shared" si="108"/>
        <v>-41622.116400000006</v>
      </c>
      <c r="G242" s="372">
        <f t="shared" si="109"/>
        <v>161235.47640000001</v>
      </c>
      <c r="H242" s="373">
        <f t="shared" si="107"/>
        <v>-0.2581449029042594</v>
      </c>
      <c r="I242" s="372"/>
    </row>
    <row r="243" spans="2:14" x14ac:dyDescent="0.25">
      <c r="B243" s="635">
        <v>42474</v>
      </c>
      <c r="C243" s="371">
        <v>9678</v>
      </c>
      <c r="D243" s="636">
        <v>17.2135</v>
      </c>
      <c r="E243" s="372">
        <v>13.11</v>
      </c>
      <c r="F243" s="372">
        <f t="shared" si="108"/>
        <v>-39713.673000000003</v>
      </c>
      <c r="G243" s="372">
        <f t="shared" si="109"/>
        <v>166592.253</v>
      </c>
      <c r="H243" s="373">
        <f t="shared" si="107"/>
        <v>-0.23838847416272113</v>
      </c>
      <c r="I243" s="372"/>
    </row>
    <row r="244" spans="2:14" x14ac:dyDescent="0.25">
      <c r="B244" s="635">
        <v>42474</v>
      </c>
      <c r="C244" s="371">
        <v>9178</v>
      </c>
      <c r="D244" s="636">
        <v>17.433299999999999</v>
      </c>
      <c r="E244" s="372">
        <v>13.11</v>
      </c>
      <c r="F244" s="372">
        <f t="shared" si="108"/>
        <v>-39679.2474</v>
      </c>
      <c r="G244" s="372">
        <f t="shared" si="109"/>
        <v>160002.82739999998</v>
      </c>
      <c r="H244" s="373">
        <f t="shared" si="107"/>
        <v>-0.24799091394056202</v>
      </c>
      <c r="I244" s="372"/>
    </row>
    <row r="245" spans="2:14" x14ac:dyDescent="0.25">
      <c r="B245" s="635">
        <v>42475</v>
      </c>
      <c r="C245" s="371">
        <v>9678</v>
      </c>
      <c r="D245" s="636">
        <v>17.205100000000002</v>
      </c>
      <c r="E245" s="372">
        <v>13.01</v>
      </c>
      <c r="F245" s="372">
        <f t="shared" si="108"/>
        <v>-40600.177800000019</v>
      </c>
      <c r="G245" s="372">
        <f t="shared" si="109"/>
        <v>166510.9578</v>
      </c>
      <c r="H245" s="373">
        <f t="shared" si="107"/>
        <v>-0.24382886469709572</v>
      </c>
      <c r="I245" s="372"/>
    </row>
    <row r="246" spans="2:14" x14ac:dyDescent="0.25">
      <c r="B246" s="635">
        <v>42478</v>
      </c>
      <c r="C246" s="371">
        <v>9178</v>
      </c>
      <c r="D246" s="636">
        <v>17.412400000000002</v>
      </c>
      <c r="E246" s="372">
        <v>13.36</v>
      </c>
      <c r="F246" s="372">
        <f t="shared" si="108"/>
        <v>-37192.92720000002</v>
      </c>
      <c r="G246" s="372">
        <f t="shared" si="109"/>
        <v>159811.00720000002</v>
      </c>
      <c r="H246" s="373">
        <f t="shared" si="107"/>
        <v>-0.232730697663734</v>
      </c>
      <c r="I246" s="372"/>
    </row>
    <row r="247" spans="2:14" x14ac:dyDescent="0.25">
      <c r="B247" s="635">
        <v>42484</v>
      </c>
      <c r="C247" s="392">
        <v>9178</v>
      </c>
      <c r="D247" s="637">
        <v>17.412400000000002</v>
      </c>
      <c r="E247" s="372">
        <v>14.34</v>
      </c>
      <c r="F247" s="372">
        <f t="shared" si="108"/>
        <v>-28198.487200000018</v>
      </c>
      <c r="G247" s="372">
        <f t="shared" si="109"/>
        <v>159811.00720000002</v>
      </c>
      <c r="H247" s="373">
        <f t="shared" si="107"/>
        <v>-0.17644896740254082</v>
      </c>
      <c r="I247" s="372"/>
    </row>
    <row r="248" spans="2:14" x14ac:dyDescent="0.25">
      <c r="B248" s="635">
        <v>42485</v>
      </c>
      <c r="C248" s="392">
        <v>9678</v>
      </c>
      <c r="D248" s="637">
        <v>17.233499999999999</v>
      </c>
      <c r="E248" s="372">
        <v>13.83</v>
      </c>
      <c r="F248" s="372">
        <f t="shared" si="108"/>
        <v>-32939.072999999997</v>
      </c>
      <c r="G248" s="372">
        <f t="shared" si="109"/>
        <v>166785.81299999999</v>
      </c>
      <c r="H248" s="373">
        <f t="shared" si="107"/>
        <v>-0.19749325441726867</v>
      </c>
      <c r="I248" s="372"/>
    </row>
    <row r="249" spans="2:14" x14ac:dyDescent="0.25">
      <c r="B249" s="635">
        <v>42486</v>
      </c>
      <c r="C249" s="371">
        <v>9178</v>
      </c>
      <c r="D249" s="636">
        <v>17.390599999999999</v>
      </c>
      <c r="E249" s="372">
        <v>14.44</v>
      </c>
      <c r="F249" s="372">
        <f t="shared" si="108"/>
        <v>-27080.606799999998</v>
      </c>
      <c r="G249" s="372">
        <f t="shared" si="109"/>
        <v>159610.92679999999</v>
      </c>
      <c r="H249" s="374">
        <f t="shared" si="107"/>
        <v>-0.16966637148804525</v>
      </c>
      <c r="I249" s="372"/>
    </row>
    <row r="250" spans="2:14" x14ac:dyDescent="0.25">
      <c r="B250" s="635">
        <v>42487</v>
      </c>
      <c r="C250" s="371">
        <v>9178</v>
      </c>
      <c r="D250" s="636">
        <v>17.376300000000001</v>
      </c>
      <c r="E250" s="372">
        <v>14.84</v>
      </c>
      <c r="F250" s="372">
        <f t="shared" si="108"/>
        <v>-23278.161400000005</v>
      </c>
      <c r="G250" s="372">
        <f t="shared" si="109"/>
        <v>159479.6814</v>
      </c>
      <c r="H250" s="374">
        <f t="shared" si="107"/>
        <v>-0.14596317973331496</v>
      </c>
      <c r="I250" s="372"/>
    </row>
    <row r="251" spans="2:14" x14ac:dyDescent="0.25">
      <c r="B251" s="635">
        <v>42488</v>
      </c>
      <c r="C251" s="371">
        <v>9678</v>
      </c>
      <c r="D251" s="636">
        <v>17.2287</v>
      </c>
      <c r="E251" s="372">
        <v>14.35</v>
      </c>
      <c r="F251" s="372">
        <f t="shared" si="108"/>
        <v>-27860.058600000004</v>
      </c>
      <c r="G251" s="372">
        <f t="shared" si="109"/>
        <v>166739.35860000001</v>
      </c>
      <c r="H251" s="374">
        <f t="shared" si="107"/>
        <v>-0.16708747612994598</v>
      </c>
      <c r="I251" s="372"/>
    </row>
    <row r="252" spans="2:14" x14ac:dyDescent="0.25">
      <c r="B252" s="635">
        <v>42489</v>
      </c>
      <c r="C252" s="371">
        <v>9678</v>
      </c>
      <c r="D252" s="636">
        <v>17.179200000000002</v>
      </c>
      <c r="E252" s="372">
        <v>14.09</v>
      </c>
      <c r="F252" s="372">
        <f t="shared" si="108"/>
        <v>-29897.277600000016</v>
      </c>
      <c r="G252" s="372">
        <f t="shared" si="109"/>
        <v>166260.29760000002</v>
      </c>
      <c r="H252" s="374">
        <f t="shared" si="107"/>
        <v>-0.17982211045916</v>
      </c>
      <c r="I252" s="372"/>
    </row>
    <row r="253" spans="2:14" x14ac:dyDescent="0.25">
      <c r="B253" s="635">
        <v>42492</v>
      </c>
      <c r="C253" s="371">
        <v>9678</v>
      </c>
      <c r="D253" s="636">
        <v>17.136399999999998</v>
      </c>
      <c r="E253" s="372">
        <v>13.55</v>
      </c>
      <c r="F253" s="372">
        <f t="shared" si="108"/>
        <v>-34709.179199999977</v>
      </c>
      <c r="G253" s="372">
        <f t="shared" si="109"/>
        <v>165846.07919999998</v>
      </c>
      <c r="H253" s="374">
        <f t="shared" si="107"/>
        <v>-0.20928549753740563</v>
      </c>
      <c r="I253" s="372"/>
    </row>
    <row r="254" spans="2:14" x14ac:dyDescent="0.25">
      <c r="B254" s="635">
        <v>42493</v>
      </c>
      <c r="C254" s="371">
        <v>9678</v>
      </c>
      <c r="D254" s="636">
        <v>17.1221</v>
      </c>
      <c r="E254" s="372">
        <v>12.79</v>
      </c>
      <c r="F254" s="372">
        <f t="shared" si="108"/>
        <v>-41926.063800000004</v>
      </c>
      <c r="G254" s="372">
        <f t="shared" si="109"/>
        <v>165707.6838</v>
      </c>
      <c r="H254" s="374">
        <f t="shared" si="107"/>
        <v>-0.25301218892542388</v>
      </c>
      <c r="I254" s="372"/>
      <c r="N254" s="70"/>
    </row>
    <row r="255" spans="2:14" x14ac:dyDescent="0.25">
      <c r="B255" s="635">
        <v>42494</v>
      </c>
      <c r="C255" s="371">
        <v>11678</v>
      </c>
      <c r="D255" s="636">
        <v>16.316800000000001</v>
      </c>
      <c r="E255" s="372">
        <v>12.17</v>
      </c>
      <c r="F255" s="372">
        <f t="shared" si="108"/>
        <v>-48426.330400000006</v>
      </c>
      <c r="G255" s="372">
        <f t="shared" si="109"/>
        <v>190547.59040000002</v>
      </c>
      <c r="H255" s="374">
        <f t="shared" si="107"/>
        <v>-0.25414296920964896</v>
      </c>
      <c r="I255" s="372"/>
    </row>
    <row r="256" spans="2:14" x14ac:dyDescent="0.25">
      <c r="B256" s="635">
        <v>42495</v>
      </c>
      <c r="C256" s="371">
        <v>9678</v>
      </c>
      <c r="D256" s="636">
        <v>17.0684</v>
      </c>
      <c r="E256" s="372">
        <v>12.07</v>
      </c>
      <c r="F256" s="372">
        <f t="shared" si="108"/>
        <v>-48374.515200000002</v>
      </c>
      <c r="G256" s="372">
        <f t="shared" si="109"/>
        <v>165187.97520000002</v>
      </c>
      <c r="H256" s="373">
        <f t="shared" si="107"/>
        <v>-0.29284525790349419</v>
      </c>
      <c r="I256" s="372"/>
    </row>
    <row r="257" spans="2:14" x14ac:dyDescent="0.25">
      <c r="B257" s="635">
        <v>42499</v>
      </c>
      <c r="C257" s="371">
        <v>10678</v>
      </c>
      <c r="D257" s="636">
        <v>16.537600000000001</v>
      </c>
      <c r="E257" s="372">
        <v>11.44</v>
      </c>
      <c r="F257" s="372">
        <f t="shared" si="108"/>
        <v>-54432.172800000015</v>
      </c>
      <c r="G257" s="372">
        <f t="shared" si="109"/>
        <v>176588.49280000001</v>
      </c>
      <c r="H257" s="373">
        <f t="shared" si="107"/>
        <v>-0.30824303405572762</v>
      </c>
      <c r="I257" s="372"/>
    </row>
    <row r="258" spans="2:14" x14ac:dyDescent="0.25">
      <c r="B258" s="635">
        <v>42500</v>
      </c>
      <c r="C258" s="371">
        <v>9678</v>
      </c>
      <c r="D258" s="636">
        <v>17.042100000000001</v>
      </c>
      <c r="E258" s="372">
        <v>11.94</v>
      </c>
      <c r="F258" s="372">
        <f t="shared" si="108"/>
        <v>-49378.123800000016</v>
      </c>
      <c r="G258" s="372">
        <f t="shared" si="109"/>
        <v>164933.44380000001</v>
      </c>
      <c r="H258" s="373">
        <f t="shared" si="107"/>
        <v>-0.2993821184009014</v>
      </c>
      <c r="I258" s="372"/>
    </row>
    <row r="259" spans="2:14" x14ac:dyDescent="0.25">
      <c r="B259" s="635">
        <v>42502</v>
      </c>
      <c r="C259" s="371">
        <v>10678</v>
      </c>
      <c r="D259" s="636">
        <v>16.601800000000001</v>
      </c>
      <c r="E259" s="372">
        <v>12.33</v>
      </c>
      <c r="F259" s="372">
        <f t="shared" si="108"/>
        <v>-45614.280400000011</v>
      </c>
      <c r="G259" s="372">
        <f t="shared" si="109"/>
        <v>177274.02040000001</v>
      </c>
      <c r="H259" s="373">
        <f t="shared" si="107"/>
        <v>-0.25730944837306802</v>
      </c>
      <c r="I259" s="372"/>
    </row>
    <row r="260" spans="2:14" x14ac:dyDescent="0.25">
      <c r="B260" s="635">
        <v>42502</v>
      </c>
      <c r="C260" s="371">
        <v>9678</v>
      </c>
      <c r="D260" s="636">
        <v>17.0334</v>
      </c>
      <c r="E260" s="372">
        <v>12.33</v>
      </c>
      <c r="F260" s="372">
        <f t="shared" si="108"/>
        <v>-45519.5052</v>
      </c>
      <c r="G260" s="372">
        <f t="shared" si="109"/>
        <v>164849.2452</v>
      </c>
      <c r="H260" s="373">
        <f t="shared" si="107"/>
        <v>-0.27612807777660364</v>
      </c>
      <c r="I260" s="372"/>
    </row>
    <row r="261" spans="2:14" x14ac:dyDescent="0.25">
      <c r="B261" s="635">
        <v>42503</v>
      </c>
      <c r="C261" s="371">
        <v>9678</v>
      </c>
      <c r="D261" s="636">
        <v>17.029299999999999</v>
      </c>
      <c r="E261" s="372">
        <v>12.3</v>
      </c>
      <c r="F261" s="372">
        <f t="shared" si="108"/>
        <v>-45770.165399999983</v>
      </c>
      <c r="G261" s="372">
        <f t="shared" si="109"/>
        <v>164809.56539999999</v>
      </c>
      <c r="H261" s="373">
        <f t="shared" si="107"/>
        <v>-0.27771546687180321</v>
      </c>
      <c r="I261" s="372"/>
    </row>
    <row r="262" spans="2:14" x14ac:dyDescent="0.25">
      <c r="B262" s="635">
        <v>42506</v>
      </c>
      <c r="C262" s="371">
        <v>9678</v>
      </c>
      <c r="D262" s="636">
        <v>17.027699999999999</v>
      </c>
      <c r="E262" s="372">
        <v>12.78</v>
      </c>
      <c r="F262" s="372">
        <f t="shared" si="108"/>
        <v>-41109.240599999997</v>
      </c>
      <c r="G262" s="372">
        <f t="shared" si="109"/>
        <v>164794.08059999999</v>
      </c>
      <c r="H262" s="373">
        <f t="shared" si="107"/>
        <v>-0.24945823569830336</v>
      </c>
      <c r="I262" s="372"/>
    </row>
    <row r="263" spans="2:14" x14ac:dyDescent="0.25">
      <c r="B263" s="635">
        <v>42513</v>
      </c>
      <c r="C263" s="371">
        <v>9178</v>
      </c>
      <c r="D263" s="636">
        <v>17.244399999999999</v>
      </c>
      <c r="E263" s="372">
        <v>13.19</v>
      </c>
      <c r="F263" s="372">
        <f t="shared" si="108"/>
        <v>-37211.283199999991</v>
      </c>
      <c r="G263" s="372">
        <f t="shared" si="109"/>
        <v>158269.10319999998</v>
      </c>
      <c r="H263" s="373">
        <f t="shared" si="107"/>
        <v>-0.23511400802579385</v>
      </c>
      <c r="I263" s="372"/>
    </row>
    <row r="264" spans="2:14" x14ac:dyDescent="0.25">
      <c r="B264" s="635">
        <v>42514</v>
      </c>
      <c r="C264" s="371">
        <v>9678</v>
      </c>
      <c r="D264" s="636">
        <v>17.026</v>
      </c>
      <c r="E264" s="372">
        <v>13.02</v>
      </c>
      <c r="F264" s="372">
        <f t="shared" si="108"/>
        <v>-38770.067999999999</v>
      </c>
      <c r="G264" s="372">
        <f t="shared" si="109"/>
        <v>164777.628</v>
      </c>
      <c r="H264" s="373">
        <f t="shared" si="107"/>
        <v>-0.23528720779983556</v>
      </c>
      <c r="I264" s="372"/>
    </row>
    <row r="265" spans="2:14" x14ac:dyDescent="0.25">
      <c r="B265" s="635">
        <v>42515</v>
      </c>
      <c r="C265" s="371">
        <v>9178</v>
      </c>
      <c r="D265" s="636">
        <v>17.206800000000001</v>
      </c>
      <c r="E265" s="372">
        <v>13.54</v>
      </c>
      <c r="F265" s="372">
        <f t="shared" si="108"/>
        <v>-33653.890400000018</v>
      </c>
      <c r="G265" s="372">
        <f t="shared" si="109"/>
        <v>157924.0104</v>
      </c>
      <c r="H265" s="373">
        <f t="shared" si="107"/>
        <v>-0.21310179696399109</v>
      </c>
      <c r="I265" s="372"/>
    </row>
    <row r="266" spans="2:14" x14ac:dyDescent="0.25">
      <c r="B266" s="635">
        <v>42516</v>
      </c>
      <c r="C266" s="371">
        <v>9678</v>
      </c>
      <c r="D266" s="636">
        <v>17.003799999999998</v>
      </c>
      <c r="E266" s="372">
        <v>13.17</v>
      </c>
      <c r="F266" s="372">
        <f t="shared" si="108"/>
        <v>-37103.516399999986</v>
      </c>
      <c r="G266" s="372">
        <f t="shared" si="109"/>
        <v>164562.77639999997</v>
      </c>
      <c r="H266" s="373">
        <f t="shared" si="107"/>
        <v>-0.22546724849739463</v>
      </c>
      <c r="I266" s="372"/>
    </row>
    <row r="267" spans="2:14" x14ac:dyDescent="0.25">
      <c r="B267" s="635">
        <v>42517</v>
      </c>
      <c r="C267" s="371">
        <v>9678</v>
      </c>
      <c r="D267" s="636">
        <v>16.999700000000001</v>
      </c>
      <c r="E267" s="372">
        <v>12.9</v>
      </c>
      <c r="F267" s="372">
        <f t="shared" si="108"/>
        <v>-39676.8966</v>
      </c>
      <c r="G267" s="372">
        <f t="shared" si="109"/>
        <v>164523.09660000002</v>
      </c>
      <c r="H267" s="373">
        <f t="shared" si="107"/>
        <v>-0.2411630793484591</v>
      </c>
      <c r="I267" s="372"/>
    </row>
    <row r="268" spans="2:14" x14ac:dyDescent="0.25">
      <c r="B268" s="635">
        <v>42525</v>
      </c>
      <c r="C268" s="371">
        <v>9678</v>
      </c>
      <c r="D268" s="636">
        <v>16.9956</v>
      </c>
      <c r="E268" s="372">
        <v>13.32</v>
      </c>
      <c r="F268" s="372">
        <f t="shared" si="108"/>
        <v>-35572.456799999993</v>
      </c>
      <c r="G268" s="372">
        <f t="shared" si="109"/>
        <v>164483.41680000001</v>
      </c>
      <c r="H268" s="373">
        <f t="shared" si="107"/>
        <v>-0.21626773988561743</v>
      </c>
      <c r="I268" s="372"/>
    </row>
    <row r="269" spans="2:14" x14ac:dyDescent="0.25">
      <c r="B269" s="635">
        <v>42527</v>
      </c>
      <c r="C269" s="371">
        <v>8178</v>
      </c>
      <c r="D269" s="636">
        <v>17.568999999999999</v>
      </c>
      <c r="E269" s="372">
        <v>13.96</v>
      </c>
      <c r="F269" s="372">
        <f t="shared" si="108"/>
        <v>-29514.401999999984</v>
      </c>
      <c r="G269" s="372">
        <f t="shared" si="109"/>
        <v>143679.28200000001</v>
      </c>
      <c r="H269" s="373">
        <f t="shared" si="107"/>
        <v>-0.20541863509590746</v>
      </c>
      <c r="I269" s="372"/>
    </row>
    <row r="270" spans="2:14" x14ac:dyDescent="0.25">
      <c r="B270" s="635">
        <v>42528</v>
      </c>
      <c r="C270" s="371">
        <v>7678</v>
      </c>
      <c r="D270" s="636">
        <v>17.759599999999999</v>
      </c>
      <c r="E270" s="372">
        <v>14.62</v>
      </c>
      <c r="F270" s="372">
        <f t="shared" si="108"/>
        <v>-24105.848799999996</v>
      </c>
      <c r="G270" s="372">
        <f t="shared" si="109"/>
        <v>136358.20879999999</v>
      </c>
      <c r="H270" s="373">
        <f t="shared" si="107"/>
        <v>-0.17678326088425414</v>
      </c>
      <c r="I270" s="372"/>
    </row>
    <row r="271" spans="2:14" x14ac:dyDescent="0.25">
      <c r="B271" s="635">
        <v>42529</v>
      </c>
      <c r="C271" s="371">
        <v>8178</v>
      </c>
      <c r="D271" s="636">
        <v>17.5654</v>
      </c>
      <c r="E271" s="372">
        <v>14.53</v>
      </c>
      <c r="F271" s="372">
        <f t="shared" si="108"/>
        <v>-24823.50120000001</v>
      </c>
      <c r="G271" s="372">
        <f t="shared" si="109"/>
        <v>143649.8412</v>
      </c>
      <c r="H271" s="373">
        <f t="shared" si="107"/>
        <v>-0.17280562924840887</v>
      </c>
      <c r="I271" s="372"/>
    </row>
    <row r="272" spans="2:14" x14ac:dyDescent="0.25">
      <c r="B272" s="635">
        <v>42531</v>
      </c>
      <c r="C272" s="371">
        <v>8978</v>
      </c>
      <c r="D272" s="636">
        <v>17.1751</v>
      </c>
      <c r="E272" s="372">
        <v>13.42</v>
      </c>
      <c r="F272" s="372">
        <f t="shared" ref="F272:F280" si="110">C272*(E272-D272)</f>
        <v>-33713.287800000006</v>
      </c>
      <c r="G272" s="372">
        <f t="shared" ref="G272:G280" si="111">IF(C272=0, 0,D272*C272)</f>
        <v>154198.0478</v>
      </c>
      <c r="H272" s="373">
        <f t="shared" ref="H272:H280" si="112">IF(C272=0, D272, (E272-D272)/D272)</f>
        <v>-0.21863628159370255</v>
      </c>
      <c r="I272" s="372"/>
      <c r="N272" s="70"/>
    </row>
    <row r="273" spans="2:9" x14ac:dyDescent="0.25">
      <c r="B273" s="635">
        <v>42531</v>
      </c>
      <c r="C273" s="392">
        <v>9278</v>
      </c>
      <c r="D273" s="637">
        <v>17.1052</v>
      </c>
      <c r="E273" s="372">
        <v>13.42</v>
      </c>
      <c r="F273" s="372">
        <f t="shared" si="110"/>
        <v>-34191.285600000003</v>
      </c>
      <c r="G273" s="372">
        <f t="shared" si="111"/>
        <v>158702.04560000001</v>
      </c>
      <c r="H273" s="373">
        <f t="shared" si="112"/>
        <v>-0.21544325702125669</v>
      </c>
      <c r="I273" s="372"/>
    </row>
    <row r="274" spans="2:9" x14ac:dyDescent="0.25">
      <c r="B274" s="635">
        <v>42532</v>
      </c>
      <c r="C274" s="371">
        <v>9278</v>
      </c>
      <c r="D274" s="636">
        <v>17.053000000000001</v>
      </c>
      <c r="E274" s="372">
        <v>13.42</v>
      </c>
      <c r="F274" s="372">
        <f t="shared" si="110"/>
        <v>-33706.974000000009</v>
      </c>
      <c r="G274" s="372">
        <f t="shared" si="111"/>
        <v>158217.734</v>
      </c>
      <c r="H274" s="373">
        <f t="shared" si="112"/>
        <v>-0.21304169354365804</v>
      </c>
      <c r="I274" s="372" t="s">
        <v>182</v>
      </c>
    </row>
    <row r="275" spans="2:9" x14ac:dyDescent="0.25">
      <c r="B275" s="635">
        <v>42535</v>
      </c>
      <c r="C275" s="371">
        <v>9678</v>
      </c>
      <c r="D275" s="636">
        <v>16.879300000000001</v>
      </c>
      <c r="E275" s="372">
        <v>13.23</v>
      </c>
      <c r="F275" s="372">
        <f t="shared" si="110"/>
        <v>-35317.9254</v>
      </c>
      <c r="G275" s="372">
        <f t="shared" si="111"/>
        <v>163357.86540000001</v>
      </c>
      <c r="H275" s="373">
        <f t="shared" si="112"/>
        <v>-0.21619972392220058</v>
      </c>
      <c r="I275" s="372" t="s">
        <v>219</v>
      </c>
    </row>
    <row r="276" spans="2:9" x14ac:dyDescent="0.25">
      <c r="B276" s="635">
        <v>42536</v>
      </c>
      <c r="C276" s="371">
        <v>9278</v>
      </c>
      <c r="D276" s="636">
        <v>17.027999999999999</v>
      </c>
      <c r="E276" s="372">
        <v>13.06</v>
      </c>
      <c r="F276" s="372">
        <f t="shared" si="110"/>
        <v>-36815.103999999985</v>
      </c>
      <c r="G276" s="372">
        <f t="shared" si="111"/>
        <v>157985.78399999999</v>
      </c>
      <c r="H276" s="373">
        <f t="shared" si="112"/>
        <v>-0.23302795395818643</v>
      </c>
      <c r="I276" s="372"/>
    </row>
    <row r="277" spans="2:9" x14ac:dyDescent="0.25">
      <c r="B277" s="635">
        <v>42537</v>
      </c>
      <c r="C277" s="392">
        <v>9278</v>
      </c>
      <c r="D277" s="637">
        <v>17.0168</v>
      </c>
      <c r="E277" s="372">
        <v>12.67</v>
      </c>
      <c r="F277" s="372">
        <f t="shared" si="110"/>
        <v>-40329.610399999998</v>
      </c>
      <c r="G277" s="372">
        <f t="shared" si="111"/>
        <v>157881.87039999999</v>
      </c>
      <c r="H277" s="373">
        <f t="shared" si="112"/>
        <v>-0.25544168116214566</v>
      </c>
      <c r="I277" s="372"/>
    </row>
    <row r="278" spans="2:9" x14ac:dyDescent="0.25">
      <c r="B278" s="635">
        <v>42538</v>
      </c>
      <c r="C278" s="392">
        <v>9278</v>
      </c>
      <c r="D278" s="637">
        <v>17.0061</v>
      </c>
      <c r="E278" s="372">
        <v>13.16</v>
      </c>
      <c r="F278" s="372">
        <f t="shared" si="110"/>
        <v>-35684.1158</v>
      </c>
      <c r="G278" s="372">
        <f t="shared" si="111"/>
        <v>157782.59580000001</v>
      </c>
      <c r="H278" s="373">
        <f t="shared" si="112"/>
        <v>-0.2261600249322302</v>
      </c>
      <c r="I278" s="372"/>
    </row>
    <row r="279" spans="2:9" x14ac:dyDescent="0.25">
      <c r="B279" s="635">
        <v>42541</v>
      </c>
      <c r="C279" s="371">
        <v>7678</v>
      </c>
      <c r="D279" s="636">
        <v>17.568000000000001</v>
      </c>
      <c r="E279" s="372">
        <v>14.48</v>
      </c>
      <c r="F279" s="372">
        <f t="shared" si="110"/>
        <v>-23709.664000000008</v>
      </c>
      <c r="G279" s="372">
        <f t="shared" si="111"/>
        <v>134887.10400000002</v>
      </c>
      <c r="H279" s="374">
        <f t="shared" si="112"/>
        <v>-0.17577413479052828</v>
      </c>
      <c r="I279" s="372"/>
    </row>
    <row r="280" spans="2:9" x14ac:dyDescent="0.25">
      <c r="B280" s="635">
        <v>42542</v>
      </c>
      <c r="C280" s="371">
        <v>6800</v>
      </c>
      <c r="D280" s="636">
        <v>17.892099999999999</v>
      </c>
      <c r="E280" s="372">
        <v>15.09</v>
      </c>
      <c r="F280" s="372">
        <f t="shared" si="110"/>
        <v>-19054.279999999995</v>
      </c>
      <c r="G280" s="372">
        <f t="shared" si="111"/>
        <v>121666.28</v>
      </c>
      <c r="H280" s="374">
        <f t="shared" si="112"/>
        <v>-0.15661101827063337</v>
      </c>
      <c r="I280" s="372"/>
    </row>
    <row r="281" spans="2:9" x14ac:dyDescent="0.25">
      <c r="B281" s="635">
        <v>42543</v>
      </c>
      <c r="C281" s="371">
        <v>7300</v>
      </c>
      <c r="D281" s="636">
        <v>17.6769</v>
      </c>
      <c r="E281" s="372">
        <v>14.75</v>
      </c>
      <c r="F281" s="372">
        <f t="shared" ref="F281:F289" si="113">C281*(E281-D281)</f>
        <v>-21366.37</v>
      </c>
      <c r="G281" s="372">
        <f t="shared" ref="G281:G289" si="114">IF(C281=0, 0,D281*C281)</f>
        <v>129041.37</v>
      </c>
      <c r="H281" s="374">
        <f t="shared" ref="H281:H289" si="115">IF(C281=0, D281, (E281-D281)/D281)</f>
        <v>-0.16557767481854849</v>
      </c>
      <c r="I281" s="372"/>
    </row>
    <row r="282" spans="2:9" x14ac:dyDescent="0.25">
      <c r="B282" s="635">
        <v>42544</v>
      </c>
      <c r="C282" s="371">
        <v>6800</v>
      </c>
      <c r="D282" s="636">
        <v>17.856100000000001</v>
      </c>
      <c r="E282" s="372">
        <v>15.27</v>
      </c>
      <c r="F282" s="372">
        <f t="shared" si="113"/>
        <v>-17585.480000000014</v>
      </c>
      <c r="G282" s="372">
        <f t="shared" si="114"/>
        <v>121421.48000000001</v>
      </c>
      <c r="H282" s="374">
        <f t="shared" si="115"/>
        <v>-0.1448300580753917</v>
      </c>
      <c r="I282" s="372"/>
    </row>
    <row r="283" spans="2:9" x14ac:dyDescent="0.25">
      <c r="B283" s="635">
        <v>42545</v>
      </c>
      <c r="C283" s="371">
        <v>7678</v>
      </c>
      <c r="D283" s="636">
        <v>17.462</v>
      </c>
      <c r="E283" s="372">
        <v>14.41</v>
      </c>
      <c r="F283" s="372">
        <f t="shared" si="113"/>
        <v>-23433.255999999998</v>
      </c>
      <c r="G283" s="372">
        <f t="shared" si="114"/>
        <v>134073.236</v>
      </c>
      <c r="H283" s="374">
        <f t="shared" si="115"/>
        <v>-0.17477952124613444</v>
      </c>
      <c r="I283" s="372"/>
    </row>
    <row r="284" spans="2:9" x14ac:dyDescent="0.25">
      <c r="B284" s="635">
        <v>42545</v>
      </c>
      <c r="C284" s="371">
        <v>8013</v>
      </c>
      <c r="D284" s="636">
        <v>17.32</v>
      </c>
      <c r="E284" s="372">
        <v>14.68</v>
      </c>
      <c r="F284" s="372">
        <f t="shared" si="113"/>
        <v>-21154.320000000003</v>
      </c>
      <c r="G284" s="372">
        <f t="shared" si="114"/>
        <v>138785.16</v>
      </c>
      <c r="H284" s="374">
        <f t="shared" si="115"/>
        <v>-0.15242494226327949</v>
      </c>
      <c r="I284" s="372"/>
    </row>
    <row r="285" spans="2:9" x14ac:dyDescent="0.25">
      <c r="B285" s="635">
        <v>42548</v>
      </c>
      <c r="C285" s="371">
        <v>8978</v>
      </c>
      <c r="D285" s="636">
        <v>16.943300000000001</v>
      </c>
      <c r="E285" s="372">
        <v>13.66</v>
      </c>
      <c r="F285" s="372">
        <f t="shared" si="113"/>
        <v>-29477.467400000005</v>
      </c>
      <c r="G285" s="372">
        <f t="shared" si="114"/>
        <v>152116.9474</v>
      </c>
      <c r="H285" s="374">
        <f t="shared" si="115"/>
        <v>-0.19378161279089673</v>
      </c>
      <c r="I285" s="372"/>
    </row>
    <row r="286" spans="2:9" x14ac:dyDescent="0.25">
      <c r="B286" s="635">
        <v>42548</v>
      </c>
      <c r="C286" s="371">
        <v>9278</v>
      </c>
      <c r="D286" s="636">
        <v>16.834599999999998</v>
      </c>
      <c r="E286" s="372">
        <v>13.66</v>
      </c>
      <c r="F286" s="372">
        <f t="shared" si="113"/>
        <v>-29453.938799999982</v>
      </c>
      <c r="G286" s="372">
        <f t="shared" si="114"/>
        <v>156191.41879999998</v>
      </c>
      <c r="H286" s="373">
        <f t="shared" si="115"/>
        <v>-0.18857590913951019</v>
      </c>
      <c r="I286" s="372"/>
    </row>
    <row r="287" spans="2:9" x14ac:dyDescent="0.25">
      <c r="B287" s="635">
        <v>42549</v>
      </c>
      <c r="C287" s="371">
        <v>8178</v>
      </c>
      <c r="D287" s="636">
        <v>17.124400000000001</v>
      </c>
      <c r="E287" s="372">
        <v>14.78</v>
      </c>
      <c r="F287" s="372">
        <f t="shared" si="113"/>
        <v>-19172.503200000017</v>
      </c>
      <c r="G287" s="372">
        <f t="shared" si="114"/>
        <v>140043.3432</v>
      </c>
      <c r="H287" s="373">
        <f t="shared" si="115"/>
        <v>-0.13690406671182651</v>
      </c>
      <c r="I287" s="372">
        <v>17</v>
      </c>
    </row>
    <row r="288" spans="2:9" x14ac:dyDescent="0.25">
      <c r="B288" s="635">
        <v>42552</v>
      </c>
      <c r="C288" s="371">
        <v>7678</v>
      </c>
      <c r="D288" s="636">
        <v>17.2315</v>
      </c>
      <c r="E288" s="372">
        <v>15.48</v>
      </c>
      <c r="F288" s="372">
        <f t="shared" si="113"/>
        <v>-13448.017</v>
      </c>
      <c r="G288" s="372">
        <f t="shared" si="114"/>
        <v>132303.45699999999</v>
      </c>
      <c r="H288" s="373">
        <f t="shared" si="115"/>
        <v>-0.1016452427240809</v>
      </c>
      <c r="I288" s="372">
        <v>17</v>
      </c>
    </row>
    <row r="289" spans="2:14" x14ac:dyDescent="0.25">
      <c r="B289" s="635">
        <v>42552</v>
      </c>
      <c r="C289" s="371">
        <v>7300</v>
      </c>
      <c r="D289" s="636">
        <v>17.313400000000001</v>
      </c>
      <c r="E289" s="372">
        <v>15.65</v>
      </c>
      <c r="F289" s="372">
        <f t="shared" si="113"/>
        <v>-12142.820000000009</v>
      </c>
      <c r="G289" s="372">
        <f t="shared" si="114"/>
        <v>126387.82</v>
      </c>
      <c r="H289" s="373">
        <f t="shared" si="115"/>
        <v>-9.6075871868032903E-2</v>
      </c>
      <c r="I289" s="372"/>
    </row>
    <row r="290" spans="2:14" x14ac:dyDescent="0.25">
      <c r="B290" s="635">
        <v>42552</v>
      </c>
      <c r="C290" s="371">
        <v>6800</v>
      </c>
      <c r="D290" s="636">
        <v>17.446100000000001</v>
      </c>
      <c r="E290" s="372">
        <v>15.7</v>
      </c>
      <c r="F290" s="372">
        <f t="shared" ref="F290:F311" si="116">C290*(E290-D290)</f>
        <v>-11873.480000000014</v>
      </c>
      <c r="G290" s="372">
        <f t="shared" ref="G290:G311" si="117">IF(C290=0, 0,D290*C290)</f>
        <v>118633.48000000001</v>
      </c>
      <c r="H290" s="373">
        <f t="shared" ref="H290:H311" si="118">IF(C290=0, D290, (E290-D290)/D290)</f>
        <v>-0.10008540590733757</v>
      </c>
      <c r="I290" s="372"/>
    </row>
    <row r="291" spans="2:14" x14ac:dyDescent="0.25">
      <c r="B291" s="635">
        <v>42552</v>
      </c>
      <c r="C291" s="371">
        <v>6000</v>
      </c>
      <c r="D291" s="636">
        <v>17.668199999999999</v>
      </c>
      <c r="E291" s="372">
        <v>15.68</v>
      </c>
      <c r="F291" s="372">
        <f t="shared" si="116"/>
        <v>-11929.199999999995</v>
      </c>
      <c r="G291" s="372">
        <f t="shared" si="117"/>
        <v>106009.2</v>
      </c>
      <c r="H291" s="373">
        <f t="shared" si="118"/>
        <v>-0.11252985589929926</v>
      </c>
      <c r="I291" s="372"/>
    </row>
    <row r="292" spans="2:14" x14ac:dyDescent="0.25">
      <c r="B292" s="635">
        <v>42556</v>
      </c>
      <c r="C292" s="371">
        <v>8178</v>
      </c>
      <c r="D292" s="636">
        <v>16.978899999999999</v>
      </c>
      <c r="E292" s="372">
        <v>14.72</v>
      </c>
      <c r="F292" s="372">
        <f t="shared" si="116"/>
        <v>-18473.284199999991</v>
      </c>
      <c r="G292" s="372">
        <f t="shared" si="117"/>
        <v>138853.4442</v>
      </c>
      <c r="H292" s="373">
        <f t="shared" si="118"/>
        <v>-0.13304159869013887</v>
      </c>
      <c r="I292" s="372">
        <v>16.75</v>
      </c>
    </row>
    <row r="293" spans="2:14" x14ac:dyDescent="0.25">
      <c r="B293" s="635">
        <v>42556</v>
      </c>
      <c r="C293" s="371">
        <v>8678</v>
      </c>
      <c r="D293" s="636">
        <v>16.843</v>
      </c>
      <c r="E293" s="372">
        <v>14.72</v>
      </c>
      <c r="F293" s="372">
        <f t="shared" si="116"/>
        <v>-18423.393999999993</v>
      </c>
      <c r="G293" s="372">
        <f t="shared" si="117"/>
        <v>146163.554</v>
      </c>
      <c r="H293" s="373">
        <f t="shared" si="118"/>
        <v>-0.12604642878347083</v>
      </c>
      <c r="I293" s="372"/>
    </row>
    <row r="294" spans="2:14" x14ac:dyDescent="0.25">
      <c r="B294" s="635">
        <v>42557</v>
      </c>
      <c r="C294" s="371">
        <v>8178</v>
      </c>
      <c r="D294" s="636">
        <v>16.960599999999999</v>
      </c>
      <c r="E294" s="372">
        <v>14.84</v>
      </c>
      <c r="F294" s="372">
        <f t="shared" si="116"/>
        <v>-17342.266799999998</v>
      </c>
      <c r="G294" s="372">
        <f t="shared" si="117"/>
        <v>138703.7868</v>
      </c>
      <c r="H294" s="373">
        <f t="shared" si="118"/>
        <v>-0.12503095409360515</v>
      </c>
      <c r="I294" s="372">
        <v>16.75</v>
      </c>
    </row>
    <row r="295" spans="2:14" x14ac:dyDescent="0.25">
      <c r="B295" s="635">
        <v>42557</v>
      </c>
      <c r="C295" s="371">
        <v>8678</v>
      </c>
      <c r="D295" s="636">
        <v>16.835000000000001</v>
      </c>
      <c r="E295" s="372">
        <v>14.84</v>
      </c>
      <c r="F295" s="372">
        <f t="shared" si="116"/>
        <v>-17312.610000000008</v>
      </c>
      <c r="G295" s="372">
        <f t="shared" si="117"/>
        <v>146094.13</v>
      </c>
      <c r="H295" s="373">
        <f t="shared" si="118"/>
        <v>-0.11850311850311855</v>
      </c>
      <c r="I295" s="372"/>
    </row>
    <row r="296" spans="2:14" x14ac:dyDescent="0.25">
      <c r="B296" s="635">
        <v>42559</v>
      </c>
      <c r="C296" s="371">
        <v>8678</v>
      </c>
      <c r="D296" s="636">
        <v>16.835000000000001</v>
      </c>
      <c r="E296" s="372">
        <v>14.92</v>
      </c>
      <c r="F296" s="372">
        <f t="shared" si="116"/>
        <v>-16618.370000000006</v>
      </c>
      <c r="G296" s="372">
        <f t="shared" si="117"/>
        <v>146094.13</v>
      </c>
      <c r="H296" s="373">
        <f t="shared" si="118"/>
        <v>-0.1137511137511138</v>
      </c>
      <c r="I296" s="372"/>
    </row>
    <row r="297" spans="2:14" x14ac:dyDescent="0.25">
      <c r="B297" s="635">
        <v>42562</v>
      </c>
      <c r="C297" s="371">
        <v>8678</v>
      </c>
      <c r="D297" s="636">
        <v>16.835000000000001</v>
      </c>
      <c r="E297" s="372">
        <v>14.69</v>
      </c>
      <c r="F297" s="372">
        <f t="shared" si="116"/>
        <v>-18614.310000000012</v>
      </c>
      <c r="G297" s="372">
        <f t="shared" si="117"/>
        <v>146094.13</v>
      </c>
      <c r="H297" s="373">
        <f t="shared" si="118"/>
        <v>-0.12741312741312749</v>
      </c>
      <c r="I297" s="372"/>
    </row>
    <row r="298" spans="2:14" x14ac:dyDescent="0.25">
      <c r="B298" s="635">
        <v>42563</v>
      </c>
      <c r="C298" s="371">
        <v>8678</v>
      </c>
      <c r="D298" s="636">
        <v>16.835000000000001</v>
      </c>
      <c r="E298" s="372">
        <v>15.6</v>
      </c>
      <c r="F298" s="372">
        <f t="shared" si="116"/>
        <v>-10717.330000000011</v>
      </c>
      <c r="G298" s="372">
        <f t="shared" si="117"/>
        <v>146094.13</v>
      </c>
      <c r="H298" s="373">
        <f t="shared" si="118"/>
        <v>-7.3359073359073421E-2</v>
      </c>
      <c r="I298" s="372"/>
    </row>
    <row r="299" spans="2:14" x14ac:dyDescent="0.25">
      <c r="B299" s="635">
        <v>42564</v>
      </c>
      <c r="C299" s="371">
        <v>8738</v>
      </c>
      <c r="D299" s="636">
        <v>16.816099999999999</v>
      </c>
      <c r="E299" s="372">
        <v>15.29</v>
      </c>
      <c r="F299" s="372">
        <f t="shared" si="116"/>
        <v>-13335.061799999996</v>
      </c>
      <c r="G299" s="372">
        <f t="shared" si="117"/>
        <v>146939.08179999999</v>
      </c>
      <c r="H299" s="373">
        <f t="shared" si="118"/>
        <v>-9.0752314745987453E-2</v>
      </c>
      <c r="I299" s="372"/>
    </row>
    <row r="300" spans="2:14" x14ac:dyDescent="0.25">
      <c r="B300" s="635">
        <v>42566</v>
      </c>
      <c r="C300" s="371">
        <v>8738</v>
      </c>
      <c r="D300" s="636">
        <v>16.816099999999999</v>
      </c>
      <c r="E300" s="372">
        <v>15.21</v>
      </c>
      <c r="F300" s="372">
        <f t="shared" si="116"/>
        <v>-14034.101799999982</v>
      </c>
      <c r="G300" s="372">
        <f t="shared" si="117"/>
        <v>146939.08179999999</v>
      </c>
      <c r="H300" s="373">
        <f t="shared" si="118"/>
        <v>-9.5509660384988079E-2</v>
      </c>
      <c r="I300" s="372"/>
    </row>
    <row r="301" spans="2:14" x14ac:dyDescent="0.25">
      <c r="B301" s="635">
        <v>42570</v>
      </c>
      <c r="C301" s="371">
        <v>9138</v>
      </c>
      <c r="D301" s="636">
        <v>16.733499999999999</v>
      </c>
      <c r="E301" s="372">
        <v>14.75</v>
      </c>
      <c r="F301" s="372">
        <f t="shared" si="116"/>
        <v>-18125.222999999994</v>
      </c>
      <c r="G301" s="372">
        <f t="shared" si="117"/>
        <v>152910.723</v>
      </c>
      <c r="H301" s="373">
        <f t="shared" si="118"/>
        <v>-0.1185346759494427</v>
      </c>
      <c r="I301" s="372"/>
    </row>
    <row r="302" spans="2:14" x14ac:dyDescent="0.25">
      <c r="B302" s="635">
        <v>42571</v>
      </c>
      <c r="C302" s="392">
        <v>9138</v>
      </c>
      <c r="D302" s="637">
        <v>16.7227</v>
      </c>
      <c r="E302" s="372">
        <v>14.84</v>
      </c>
      <c r="F302" s="372">
        <f t="shared" si="116"/>
        <v>-17204.112599999997</v>
      </c>
      <c r="G302" s="372">
        <f t="shared" si="117"/>
        <v>152812.03260000001</v>
      </c>
      <c r="H302" s="373">
        <f t="shared" si="118"/>
        <v>-0.11258349429218965</v>
      </c>
      <c r="I302" s="372"/>
    </row>
    <row r="303" spans="2:14" x14ac:dyDescent="0.25">
      <c r="B303" s="635">
        <v>42572</v>
      </c>
      <c r="C303" s="371">
        <v>9138</v>
      </c>
      <c r="D303" s="636">
        <v>16.718900000000001</v>
      </c>
      <c r="E303" s="372">
        <v>14.42</v>
      </c>
      <c r="F303" s="372">
        <f t="shared" si="116"/>
        <v>-21007.348200000015</v>
      </c>
      <c r="G303" s="372">
        <f t="shared" si="117"/>
        <v>152777.3082</v>
      </c>
      <c r="H303" s="373">
        <f t="shared" si="118"/>
        <v>-0.13750306539305823</v>
      </c>
      <c r="I303" s="372"/>
      <c r="N303" s="29"/>
    </row>
    <row r="304" spans="2:14" x14ac:dyDescent="0.25">
      <c r="B304" s="635">
        <v>42573</v>
      </c>
      <c r="C304" s="371">
        <v>9278</v>
      </c>
      <c r="D304" s="636">
        <v>16.679099999999998</v>
      </c>
      <c r="E304" s="372">
        <v>14.11</v>
      </c>
      <c r="F304" s="372">
        <f t="shared" si="116"/>
        <v>-23836.109799999987</v>
      </c>
      <c r="G304" s="372">
        <f t="shared" si="117"/>
        <v>154748.68979999999</v>
      </c>
      <c r="H304" s="373">
        <f t="shared" si="118"/>
        <v>-0.15403109280476759</v>
      </c>
      <c r="I304" s="372"/>
    </row>
    <row r="305" spans="2:9" x14ac:dyDescent="0.25">
      <c r="B305" s="635">
        <v>42576</v>
      </c>
      <c r="C305" s="371">
        <v>9478</v>
      </c>
      <c r="D305" s="636">
        <v>16.613099999999999</v>
      </c>
      <c r="E305" s="372">
        <v>13.58</v>
      </c>
      <c r="F305" s="372">
        <f t="shared" si="116"/>
        <v>-28747.721799999992</v>
      </c>
      <c r="G305" s="372">
        <f t="shared" si="117"/>
        <v>157458.96179999999</v>
      </c>
      <c r="H305" s="373">
        <f t="shared" si="118"/>
        <v>-0.18257278894366491</v>
      </c>
      <c r="I305" s="372"/>
    </row>
    <row r="306" spans="2:9" x14ac:dyDescent="0.25">
      <c r="B306" s="635">
        <v>42577</v>
      </c>
      <c r="C306" s="392">
        <v>9278</v>
      </c>
      <c r="D306" s="637">
        <v>16.674199999999999</v>
      </c>
      <c r="E306" s="372">
        <v>13.78</v>
      </c>
      <c r="F306" s="372">
        <f t="shared" si="116"/>
        <v>-26852.387599999998</v>
      </c>
      <c r="G306" s="372">
        <f t="shared" si="117"/>
        <v>154703.22759999998</v>
      </c>
      <c r="H306" s="373">
        <f t="shared" si="118"/>
        <v>-0.17357354475776948</v>
      </c>
      <c r="I306" s="372">
        <v>16.53</v>
      </c>
    </row>
    <row r="307" spans="2:9" ht="15" customHeight="1" x14ac:dyDescent="0.25">
      <c r="B307" s="635">
        <v>42578</v>
      </c>
      <c r="C307" s="392">
        <v>9478</v>
      </c>
      <c r="D307" s="637">
        <v>16.6004</v>
      </c>
      <c r="E307" s="372">
        <v>13.13</v>
      </c>
      <c r="F307" s="372">
        <f t="shared" si="116"/>
        <v>-32892.451199999996</v>
      </c>
      <c r="G307" s="372">
        <f t="shared" si="117"/>
        <v>157338.5912</v>
      </c>
      <c r="H307" s="373">
        <f t="shared" si="118"/>
        <v>-0.20905520348907253</v>
      </c>
      <c r="I307" s="372"/>
    </row>
    <row r="308" spans="2:9" x14ac:dyDescent="0.25">
      <c r="B308" s="635">
        <v>42580</v>
      </c>
      <c r="C308" s="371">
        <v>9478</v>
      </c>
      <c r="D308" s="636">
        <v>16.599</v>
      </c>
      <c r="E308" s="372">
        <v>13.64</v>
      </c>
      <c r="F308" s="372">
        <f t="shared" si="116"/>
        <v>-28045.401999999998</v>
      </c>
      <c r="G308" s="372">
        <f t="shared" si="117"/>
        <v>157325.32200000001</v>
      </c>
      <c r="H308" s="374">
        <f t="shared" si="118"/>
        <v>-0.17826375082836313</v>
      </c>
      <c r="I308" s="372"/>
    </row>
    <row r="309" spans="2:9" x14ac:dyDescent="0.25">
      <c r="B309" s="635">
        <v>42580</v>
      </c>
      <c r="C309" s="371">
        <v>9278</v>
      </c>
      <c r="D309" s="636">
        <v>16.664000000000001</v>
      </c>
      <c r="E309" s="372">
        <v>13.64</v>
      </c>
      <c r="F309" s="372">
        <f t="shared" si="116"/>
        <v>-28056.67200000001</v>
      </c>
      <c r="G309" s="372">
        <f t="shared" si="117"/>
        <v>154608.592</v>
      </c>
      <c r="H309" s="374">
        <f t="shared" si="118"/>
        <v>-0.18146903504560732</v>
      </c>
      <c r="I309" s="372">
        <v>16.53</v>
      </c>
    </row>
    <row r="310" spans="2:9" x14ac:dyDescent="0.25">
      <c r="B310" s="635">
        <v>42583</v>
      </c>
      <c r="C310" s="371">
        <v>9478</v>
      </c>
      <c r="D310" s="636">
        <v>16.5871</v>
      </c>
      <c r="E310" s="372">
        <v>12.92</v>
      </c>
      <c r="F310" s="372">
        <f t="shared" si="116"/>
        <v>-34756.773799999995</v>
      </c>
      <c r="G310" s="372">
        <f t="shared" si="117"/>
        <v>157212.5338</v>
      </c>
      <c r="H310" s="374">
        <f t="shared" si="118"/>
        <v>-0.22108144280796521</v>
      </c>
      <c r="I310" s="372"/>
    </row>
    <row r="311" spans="2:9" x14ac:dyDescent="0.25">
      <c r="B311" s="635">
        <v>42584</v>
      </c>
      <c r="C311" s="371">
        <v>9678</v>
      </c>
      <c r="D311" s="636">
        <v>16.5063</v>
      </c>
      <c r="E311" s="372">
        <v>12.9</v>
      </c>
      <c r="F311" s="372">
        <f t="shared" si="116"/>
        <v>-34901.771399999991</v>
      </c>
      <c r="G311" s="372">
        <f t="shared" si="117"/>
        <v>159747.97140000001</v>
      </c>
      <c r="H311" s="374">
        <f t="shared" si="118"/>
        <v>-0.21848021664455386</v>
      </c>
      <c r="I311" s="372"/>
    </row>
    <row r="312" spans="2:9" x14ac:dyDescent="0.25">
      <c r="B312" s="635">
        <v>42585</v>
      </c>
      <c r="C312" s="371">
        <v>10078</v>
      </c>
      <c r="D312" s="636">
        <v>16.5063</v>
      </c>
      <c r="E312" s="372">
        <v>12.9</v>
      </c>
      <c r="F312" s="372">
        <f t="shared" ref="F312:F327" si="119">C312*(E312-D312)</f>
        <v>-36344.291399999995</v>
      </c>
      <c r="G312" s="372">
        <f t="shared" ref="G312:G327" si="120">IF(C312=0, 0,D312*C312)</f>
        <v>166350.4914</v>
      </c>
      <c r="H312" s="374">
        <f t="shared" ref="H312:H327" si="121">IF(C312=0, D312, (E312-D312)/D312)</f>
        <v>-0.21848021664455386</v>
      </c>
      <c r="I312" s="372"/>
    </row>
    <row r="313" spans="2:9" x14ac:dyDescent="0.25">
      <c r="B313" s="635">
        <v>42586</v>
      </c>
      <c r="C313" s="371">
        <v>9678</v>
      </c>
      <c r="D313" s="636">
        <v>16.489799999999999</v>
      </c>
      <c r="E313" s="372">
        <v>13.41</v>
      </c>
      <c r="F313" s="372">
        <f t="shared" si="119"/>
        <v>-29806.304399999986</v>
      </c>
      <c r="G313" s="372">
        <f t="shared" si="120"/>
        <v>159588.28439999997</v>
      </c>
      <c r="H313" s="374">
        <f t="shared" si="121"/>
        <v>-0.1867700032747516</v>
      </c>
      <c r="I313" s="372"/>
    </row>
    <row r="314" spans="2:9" x14ac:dyDescent="0.25">
      <c r="B314" s="635">
        <v>42586</v>
      </c>
      <c r="C314" s="371">
        <v>9278</v>
      </c>
      <c r="D314" s="636">
        <v>16.609200000000001</v>
      </c>
      <c r="E314" s="372">
        <v>13.66</v>
      </c>
      <c r="F314" s="372">
        <f t="shared" si="119"/>
        <v>-27362.67760000001</v>
      </c>
      <c r="G314" s="372">
        <f t="shared" si="120"/>
        <v>154100.15760000001</v>
      </c>
      <c r="H314" s="374">
        <f t="shared" si="121"/>
        <v>-0.17756424150470829</v>
      </c>
      <c r="I314" s="372">
        <v>16.53</v>
      </c>
    </row>
    <row r="315" spans="2:9" x14ac:dyDescent="0.25">
      <c r="B315" s="635">
        <v>42586</v>
      </c>
      <c r="C315" s="371">
        <v>9138</v>
      </c>
      <c r="D315" s="636">
        <v>16.6511</v>
      </c>
      <c r="E315" s="372">
        <v>13.87</v>
      </c>
      <c r="F315" s="372">
        <f t="shared" si="119"/>
        <v>-25413.691800000004</v>
      </c>
      <c r="G315" s="372">
        <f t="shared" si="120"/>
        <v>152157.7518</v>
      </c>
      <c r="H315" s="373">
        <f t="shared" si="121"/>
        <v>-0.1670219985466426</v>
      </c>
      <c r="I315" s="372"/>
    </row>
    <row r="316" spans="2:9" x14ac:dyDescent="0.25">
      <c r="B316" s="635">
        <v>42593</v>
      </c>
      <c r="C316" s="371">
        <v>8678</v>
      </c>
      <c r="D316" s="636">
        <v>16.760300000000001</v>
      </c>
      <c r="E316" s="372">
        <v>14.61</v>
      </c>
      <c r="F316" s="372">
        <f t="shared" si="119"/>
        <v>-18660.303400000012</v>
      </c>
      <c r="G316" s="372">
        <f t="shared" si="120"/>
        <v>145445.88340000002</v>
      </c>
      <c r="H316" s="373">
        <f t="shared" si="121"/>
        <v>-0.12829722618330228</v>
      </c>
      <c r="I316" s="372"/>
    </row>
    <row r="317" spans="2:9" x14ac:dyDescent="0.25">
      <c r="B317" s="635">
        <v>42597</v>
      </c>
      <c r="C317" s="371">
        <v>8678</v>
      </c>
      <c r="D317" s="636">
        <v>16.7471</v>
      </c>
      <c r="E317" s="372">
        <v>14.9</v>
      </c>
      <c r="F317" s="372">
        <f t="shared" si="119"/>
        <v>-16029.133799999994</v>
      </c>
      <c r="G317" s="372">
        <f t="shared" si="120"/>
        <v>145331.33379999999</v>
      </c>
      <c r="H317" s="373">
        <f t="shared" si="121"/>
        <v>-0.11029372249523794</v>
      </c>
      <c r="I317" s="372"/>
    </row>
    <row r="318" spans="2:9" x14ac:dyDescent="0.25">
      <c r="B318" s="635">
        <v>42598</v>
      </c>
      <c r="C318" s="371">
        <v>8178</v>
      </c>
      <c r="D318" s="636">
        <v>16.8429</v>
      </c>
      <c r="E318" s="372">
        <v>15.17</v>
      </c>
      <c r="F318" s="372">
        <f t="shared" si="119"/>
        <v>-13680.976200000003</v>
      </c>
      <c r="G318" s="372">
        <f t="shared" si="120"/>
        <v>137741.23620000001</v>
      </c>
      <c r="H318" s="373">
        <f t="shared" si="121"/>
        <v>-9.9323750660515728E-2</v>
      </c>
      <c r="I318" s="372">
        <v>16.75</v>
      </c>
    </row>
    <row r="319" spans="2:9" x14ac:dyDescent="0.25">
      <c r="B319" s="635">
        <v>42599</v>
      </c>
      <c r="C319" s="371">
        <v>7178</v>
      </c>
      <c r="D319" s="636">
        <v>17.009899999999998</v>
      </c>
      <c r="E319" s="372">
        <v>15.7</v>
      </c>
      <c r="F319" s="372">
        <f t="shared" si="119"/>
        <v>-9402.4621999999927</v>
      </c>
      <c r="G319" s="372">
        <f t="shared" si="120"/>
        <v>122097.06219999999</v>
      </c>
      <c r="H319" s="373">
        <f t="shared" si="121"/>
        <v>-7.7008095285686515E-2</v>
      </c>
      <c r="I319" s="372"/>
    </row>
    <row r="320" spans="2:9" x14ac:dyDescent="0.25">
      <c r="B320" s="635">
        <v>42600</v>
      </c>
      <c r="C320" s="371">
        <v>5500</v>
      </c>
      <c r="D320" s="636">
        <v>17.185600000000001</v>
      </c>
      <c r="E320" s="372">
        <v>16.68</v>
      </c>
      <c r="F320" s="372">
        <f t="shared" si="119"/>
        <v>-2780.8000000000065</v>
      </c>
      <c r="G320" s="372">
        <f t="shared" si="120"/>
        <v>94520.8</v>
      </c>
      <c r="H320" s="373">
        <f t="shared" si="121"/>
        <v>-2.9419979517735846E-2</v>
      </c>
      <c r="I320" s="372"/>
    </row>
    <row r="321" spans="2:9" x14ac:dyDescent="0.25">
      <c r="B321" s="635">
        <v>42601</v>
      </c>
      <c r="C321" s="371">
        <v>5000</v>
      </c>
      <c r="D321" s="636">
        <v>17.222200000000001</v>
      </c>
      <c r="E321" s="372">
        <v>16.8</v>
      </c>
      <c r="F321" s="372">
        <f t="shared" si="119"/>
        <v>-2111.0000000000005</v>
      </c>
      <c r="G321" s="372">
        <f t="shared" si="120"/>
        <v>86111</v>
      </c>
      <c r="H321" s="373">
        <f t="shared" si="121"/>
        <v>-2.4514870341768188E-2</v>
      </c>
      <c r="I321" s="372"/>
    </row>
    <row r="322" spans="2:9" x14ac:dyDescent="0.25">
      <c r="B322" s="635">
        <v>42604</v>
      </c>
      <c r="C322" s="371">
        <v>6000</v>
      </c>
      <c r="D322" s="636">
        <v>16.9651</v>
      </c>
      <c r="E322" s="372">
        <v>15.64</v>
      </c>
      <c r="F322" s="372">
        <f t="shared" si="119"/>
        <v>-7950.599999999994</v>
      </c>
      <c r="G322" s="372">
        <f t="shared" si="120"/>
        <v>101790.59999999999</v>
      </c>
      <c r="H322" s="373">
        <f t="shared" si="121"/>
        <v>-7.8107408739117312E-2</v>
      </c>
      <c r="I322" s="372"/>
    </row>
    <row r="323" spans="2:9" x14ac:dyDescent="0.25">
      <c r="B323" s="635">
        <v>42604</v>
      </c>
      <c r="C323" s="371">
        <v>6500</v>
      </c>
      <c r="D323" s="636">
        <v>16.850899999999999</v>
      </c>
      <c r="E323" s="372">
        <v>15.64</v>
      </c>
      <c r="F323" s="372">
        <f t="shared" si="119"/>
        <v>-7870.8499999999922</v>
      </c>
      <c r="G323" s="372">
        <f t="shared" si="120"/>
        <v>109530.84999999999</v>
      </c>
      <c r="H323" s="373">
        <f t="shared" si="121"/>
        <v>-7.1859663282079822E-2</v>
      </c>
      <c r="I323" s="372"/>
    </row>
    <row r="324" spans="2:9" x14ac:dyDescent="0.25">
      <c r="B324" s="635">
        <v>42605</v>
      </c>
      <c r="C324" s="371">
        <v>6000</v>
      </c>
      <c r="D324" s="636">
        <v>16.923500000000001</v>
      </c>
      <c r="E324" s="372">
        <v>16.43</v>
      </c>
      <c r="F324" s="372">
        <f t="shared" si="119"/>
        <v>-2961.0000000000055</v>
      </c>
      <c r="G324" s="372">
        <f t="shared" si="120"/>
        <v>101541</v>
      </c>
      <c r="H324" s="373">
        <f t="shared" si="121"/>
        <v>-2.9160634620498178E-2</v>
      </c>
      <c r="I324" s="372"/>
    </row>
    <row r="325" spans="2:9" x14ac:dyDescent="0.25">
      <c r="B325" s="635">
        <v>42605</v>
      </c>
      <c r="C325" s="371">
        <v>5500</v>
      </c>
      <c r="D325" s="636">
        <v>16.9848</v>
      </c>
      <c r="E325" s="372">
        <v>16.43</v>
      </c>
      <c r="F325" s="372">
        <f t="shared" si="119"/>
        <v>-3051.400000000001</v>
      </c>
      <c r="G325" s="372">
        <f t="shared" si="120"/>
        <v>93416.4</v>
      </c>
      <c r="H325" s="373">
        <f t="shared" si="121"/>
        <v>-3.266450002355048E-2</v>
      </c>
      <c r="I325" s="372"/>
    </row>
    <row r="326" spans="2:9" x14ac:dyDescent="0.25">
      <c r="B326" s="635">
        <v>42605</v>
      </c>
      <c r="C326" s="371">
        <v>5000</v>
      </c>
      <c r="D326" s="636">
        <v>17.035299999999999</v>
      </c>
      <c r="E326" s="372">
        <v>16.43</v>
      </c>
      <c r="F326" s="372">
        <f t="shared" si="119"/>
        <v>-3026.4999999999986</v>
      </c>
      <c r="G326" s="372">
        <f t="shared" si="120"/>
        <v>85176.5</v>
      </c>
      <c r="H326" s="373">
        <f t="shared" si="121"/>
        <v>-3.5532100990296606E-2</v>
      </c>
      <c r="I326" s="372"/>
    </row>
    <row r="327" spans="2:9" x14ac:dyDescent="0.25">
      <c r="B327" s="635">
        <v>42606</v>
      </c>
      <c r="C327" s="371">
        <v>5178</v>
      </c>
      <c r="D327" s="636">
        <v>17.0017</v>
      </c>
      <c r="E327" s="372">
        <v>16.059999999999999</v>
      </c>
      <c r="F327" s="372">
        <f t="shared" si="119"/>
        <v>-4876.1226000000042</v>
      </c>
      <c r="G327" s="372">
        <f t="shared" si="120"/>
        <v>88034.802599999995</v>
      </c>
      <c r="H327" s="373">
        <f t="shared" si="121"/>
        <v>-5.5388578789179958E-2</v>
      </c>
      <c r="I327" s="372"/>
    </row>
    <row r="328" spans="2:9" x14ac:dyDescent="0.25">
      <c r="B328" s="635">
        <v>42607</v>
      </c>
      <c r="C328" s="371">
        <v>5178</v>
      </c>
      <c r="D328" s="636">
        <v>17.0017</v>
      </c>
      <c r="E328" s="372">
        <v>16.010000000000002</v>
      </c>
      <c r="F328" s="372">
        <f>C328*(E328-D328)</f>
        <v>-5135.0225999999902</v>
      </c>
      <c r="G328" s="372">
        <f>IF(C328=0, 0,D328*C328)</f>
        <v>88034.802599999995</v>
      </c>
      <c r="H328" s="373">
        <f>IF(C328=0, D328, (E328-D328)/D328)</f>
        <v>-5.8329461171529789E-2</v>
      </c>
      <c r="I328" s="372"/>
    </row>
    <row r="329" spans="2:9" x14ac:dyDescent="0.25">
      <c r="B329" s="635">
        <v>42608</v>
      </c>
      <c r="C329" s="371">
        <v>6178</v>
      </c>
      <c r="D329" s="636">
        <v>16.825800000000001</v>
      </c>
      <c r="E329" s="372">
        <v>15.95</v>
      </c>
      <c r="F329" s="372">
        <f>C329*(E329-D329)</f>
        <v>-5410.6924000000108</v>
      </c>
      <c r="G329" s="372">
        <f>IF(C329=0, 0,D329*C329)</f>
        <v>103949.79240000001</v>
      </c>
      <c r="H329" s="373">
        <f>IF(C329=0, D329, (E329-D329)/D329)</f>
        <v>-5.2051016890727435E-2</v>
      </c>
      <c r="I329" s="372"/>
    </row>
    <row r="330" spans="2:9" x14ac:dyDescent="0.25">
      <c r="B330" s="635">
        <v>42611</v>
      </c>
      <c r="C330" s="371">
        <v>6178</v>
      </c>
      <c r="D330" s="636">
        <v>16.825800000000001</v>
      </c>
      <c r="E330" s="372">
        <v>15.99</v>
      </c>
      <c r="F330" s="372">
        <f t="shared" ref="F330:F335" si="122">C330*(E330-D330)</f>
        <v>-5163.5724000000046</v>
      </c>
      <c r="G330" s="372">
        <f t="shared" ref="G330:G335" si="123">IF(C330=0, 0,D330*C330)</f>
        <v>103949.79240000001</v>
      </c>
      <c r="H330" s="373">
        <f t="shared" ref="H330:H335" si="124">IF(C330=0, D330, (E330-D330)/D330)</f>
        <v>-4.9673715365688452E-2</v>
      </c>
      <c r="I330" s="372"/>
    </row>
    <row r="331" spans="2:9" x14ac:dyDescent="0.25">
      <c r="B331" s="635">
        <v>42612</v>
      </c>
      <c r="C331" s="371">
        <v>6678</v>
      </c>
      <c r="D331" s="636">
        <v>16.739999999999998</v>
      </c>
      <c r="E331" s="372">
        <v>15.55</v>
      </c>
      <c r="F331" s="454">
        <f t="shared" si="122"/>
        <v>-7946.8199999999852</v>
      </c>
      <c r="G331" s="372">
        <f t="shared" si="123"/>
        <v>111789.71999999999</v>
      </c>
      <c r="H331" s="374">
        <f t="shared" si="124"/>
        <v>-7.1087216248506446E-2</v>
      </c>
      <c r="I331" s="391"/>
    </row>
    <row r="332" spans="2:9" x14ac:dyDescent="0.25">
      <c r="B332" s="635">
        <v>42612</v>
      </c>
      <c r="C332" s="371">
        <v>7178</v>
      </c>
      <c r="D332" s="636">
        <v>16.6571</v>
      </c>
      <c r="E332" s="372">
        <v>15.55</v>
      </c>
      <c r="F332" s="372">
        <f t="shared" si="122"/>
        <v>-7946.7637999999934</v>
      </c>
      <c r="G332" s="372">
        <f t="shared" si="123"/>
        <v>119564.66379999999</v>
      </c>
      <c r="H332" s="373">
        <f t="shared" si="124"/>
        <v>-6.6464150422342369E-2</v>
      </c>
      <c r="I332" s="372"/>
    </row>
    <row r="333" spans="2:9" x14ac:dyDescent="0.25">
      <c r="B333" s="635">
        <v>42613</v>
      </c>
      <c r="C333" s="371">
        <v>7678</v>
      </c>
      <c r="D333" s="636">
        <v>16.565200000000001</v>
      </c>
      <c r="E333" s="372">
        <v>15.02</v>
      </c>
      <c r="F333" s="372">
        <f t="shared" si="122"/>
        <v>-11864.04560000001</v>
      </c>
      <c r="G333" s="372">
        <f t="shared" si="123"/>
        <v>127187.60560000001</v>
      </c>
      <c r="H333" s="373">
        <f t="shared" si="124"/>
        <v>-9.3279887957887692E-2</v>
      </c>
      <c r="I333" s="372" t="s">
        <v>261</v>
      </c>
    </row>
    <row r="334" spans="2:9" x14ac:dyDescent="0.25">
      <c r="B334" s="635">
        <v>42613</v>
      </c>
      <c r="C334" s="371">
        <v>8178</v>
      </c>
      <c r="D334" s="636">
        <v>16.474399999999999</v>
      </c>
      <c r="E334" s="372">
        <v>15.02</v>
      </c>
      <c r="F334" s="372">
        <f t="shared" si="122"/>
        <v>-11894.083199999997</v>
      </c>
      <c r="G334" s="372">
        <f t="shared" si="123"/>
        <v>134727.64319999999</v>
      </c>
      <c r="H334" s="373">
        <f t="shared" si="124"/>
        <v>-8.8282426067110162E-2</v>
      </c>
      <c r="I334" s="372" t="s">
        <v>262</v>
      </c>
    </row>
    <row r="335" spans="2:9" x14ac:dyDescent="0.25">
      <c r="B335" s="635">
        <v>42615</v>
      </c>
      <c r="C335" s="371">
        <v>7678</v>
      </c>
      <c r="D335" s="636">
        <v>16.528099999999998</v>
      </c>
      <c r="E335" s="372">
        <v>15.49</v>
      </c>
      <c r="F335" s="372">
        <f t="shared" si="122"/>
        <v>-7970.5317999999861</v>
      </c>
      <c r="G335" s="372">
        <f t="shared" si="123"/>
        <v>126902.75179999998</v>
      </c>
      <c r="H335" s="373">
        <f t="shared" si="124"/>
        <v>-6.2808187268953986E-2</v>
      </c>
      <c r="I335" s="372">
        <v>16.350000000000001</v>
      </c>
    </row>
    <row r="336" spans="2:9" x14ac:dyDescent="0.25">
      <c r="B336" s="635">
        <v>42616</v>
      </c>
      <c r="C336" s="371">
        <v>7678</v>
      </c>
      <c r="D336" s="636">
        <v>16.528099999999998</v>
      </c>
      <c r="E336" s="372">
        <v>15.64</v>
      </c>
      <c r="F336" s="372">
        <f>C336*(E336-D336)</f>
        <v>-6818.8317999999836</v>
      </c>
      <c r="G336" s="372">
        <f>IF(C336=0, 0,D336*C336)</f>
        <v>126902.75179999998</v>
      </c>
      <c r="H336" s="373">
        <f>IF(C336=0, D336, (E336-D336)/D336)</f>
        <v>-5.3732733950060681E-2</v>
      </c>
      <c r="I336" s="372"/>
    </row>
    <row r="337" spans="2:9" x14ac:dyDescent="0.25">
      <c r="B337" s="635">
        <v>42621</v>
      </c>
      <c r="C337" s="371">
        <v>7178</v>
      </c>
      <c r="D337" s="636">
        <v>16.545400000000001</v>
      </c>
      <c r="E337" s="372">
        <v>16.739999999999998</v>
      </c>
      <c r="F337" s="372">
        <f>C337*(E337-D337)</f>
        <v>1396.8387999999832</v>
      </c>
      <c r="G337" s="372">
        <f>IF(C337=0, 0,D337*C337)</f>
        <v>118762.8812</v>
      </c>
      <c r="H337" s="373">
        <f>IF(C337=0, D337, (E337-D337)/D337)</f>
        <v>1.1761577235968768E-2</v>
      </c>
      <c r="I337" s="372"/>
    </row>
    <row r="338" spans="2:9" x14ac:dyDescent="0.25">
      <c r="B338" s="635">
        <v>42621</v>
      </c>
      <c r="C338" s="392">
        <v>6678</v>
      </c>
      <c r="D338" s="637">
        <v>16.532299999999999</v>
      </c>
      <c r="E338" s="372">
        <v>16.739999999999998</v>
      </c>
      <c r="F338" s="372">
        <f>C338*(E338-D338)</f>
        <v>1387.0205999999941</v>
      </c>
      <c r="G338" s="372">
        <f>IF(C338=0, 0,D338*C338)</f>
        <v>110402.6994</v>
      </c>
      <c r="H338" s="373">
        <f>IF(C338=0, D338, (E338-D338)/D338)</f>
        <v>1.256328520532528E-2</v>
      </c>
      <c r="I338" s="372"/>
    </row>
    <row r="339" spans="2:9" ht="15" customHeight="1" x14ac:dyDescent="0.25">
      <c r="B339" s="635">
        <v>42621</v>
      </c>
      <c r="C339" s="371">
        <v>6458</v>
      </c>
      <c r="D339" s="636">
        <v>16.524263999999999</v>
      </c>
      <c r="E339" s="372">
        <v>16.739999999999998</v>
      </c>
      <c r="F339" s="372">
        <f>C339*(E339-D339)</f>
        <v>1393.2230879999981</v>
      </c>
      <c r="G339" s="372">
        <f>IF(C339=0, 0,D339*C339)</f>
        <v>106713.69691199998</v>
      </c>
      <c r="H339" s="373">
        <f>IF(C339=0, D339, (E339-D339)/D339)</f>
        <v>1.3055710075801242E-2</v>
      </c>
      <c r="I339" s="372"/>
    </row>
    <row r="340" spans="2:9" x14ac:dyDescent="0.25">
      <c r="B340" s="635">
        <v>42622</v>
      </c>
      <c r="C340" s="371">
        <v>7178</v>
      </c>
      <c r="D340" s="636">
        <v>16.477945999999999</v>
      </c>
      <c r="E340" s="372">
        <v>15.67</v>
      </c>
      <c r="F340" s="372">
        <f>C340*(E340-D340)</f>
        <v>-5799.4363879999955</v>
      </c>
      <c r="G340" s="372">
        <f>IF(C340=0, 0,D340*C340)</f>
        <v>118278.696388</v>
      </c>
      <c r="H340" s="373">
        <f>IF(C340=0, D340, (E340-D340)/D340)</f>
        <v>-4.9031960658203359E-2</v>
      </c>
      <c r="I340" s="372"/>
    </row>
    <row r="341" spans="2:9" x14ac:dyDescent="0.25">
      <c r="B341" s="635">
        <v>42622</v>
      </c>
      <c r="C341" s="371">
        <v>7678</v>
      </c>
      <c r="D341" s="636">
        <v>16.430541999999999</v>
      </c>
      <c r="E341" s="372">
        <v>15.67</v>
      </c>
      <c r="F341" s="372">
        <f t="shared" ref="F341:F347" si="125">C341*(E341-D341)</f>
        <v>-5839.4414759999936</v>
      </c>
      <c r="G341" s="372">
        <f t="shared" ref="G341:G347" si="126">IF(C341=0, 0,D341*C341)</f>
        <v>126153.70147599999</v>
      </c>
      <c r="H341" s="373">
        <f t="shared" ref="H341:H347" si="127">IF(C341=0, D341, (E341-D341)/D341)</f>
        <v>-4.6288308687564853E-2</v>
      </c>
      <c r="I341" s="372">
        <v>16.350000000000001</v>
      </c>
    </row>
    <row r="342" spans="2:9" x14ac:dyDescent="0.25">
      <c r="B342" s="635">
        <v>42625</v>
      </c>
      <c r="C342" s="392">
        <v>7678</v>
      </c>
      <c r="D342" s="637">
        <v>16.412330000000001</v>
      </c>
      <c r="E342" s="372">
        <v>15.47</v>
      </c>
      <c r="F342" s="372">
        <f t="shared" si="125"/>
        <v>-7235.2097400000011</v>
      </c>
      <c r="G342" s="372">
        <f t="shared" si="126"/>
        <v>126013.86974000001</v>
      </c>
      <c r="H342" s="373">
        <f t="shared" si="127"/>
        <v>-5.7415979327737135E-2</v>
      </c>
      <c r="I342" s="372"/>
    </row>
    <row r="343" spans="2:9" x14ac:dyDescent="0.25">
      <c r="B343" s="635">
        <v>42625</v>
      </c>
      <c r="C343" s="392">
        <v>7678</v>
      </c>
      <c r="D343" s="637">
        <v>16.355817999999999</v>
      </c>
      <c r="E343" s="372">
        <v>15.47</v>
      </c>
      <c r="F343" s="372">
        <f t="shared" si="125"/>
        <v>-6801.3106039999893</v>
      </c>
      <c r="G343" s="372">
        <f t="shared" si="126"/>
        <v>125579.970604</v>
      </c>
      <c r="H343" s="373">
        <f t="shared" si="127"/>
        <v>-5.4159198885680847E-2</v>
      </c>
      <c r="I343" s="372" t="s">
        <v>277</v>
      </c>
    </row>
    <row r="344" spans="2:9" x14ac:dyDescent="0.25">
      <c r="B344" s="635">
        <v>42626</v>
      </c>
      <c r="C344" s="371">
        <v>8278</v>
      </c>
      <c r="D344" s="636">
        <v>16.25066</v>
      </c>
      <c r="E344" s="372">
        <v>14.34</v>
      </c>
      <c r="F344" s="372">
        <f t="shared" si="125"/>
        <v>-15816.44348</v>
      </c>
      <c r="G344" s="372">
        <f t="shared" si="126"/>
        <v>134522.96348000001</v>
      </c>
      <c r="H344" s="374">
        <f t="shared" si="127"/>
        <v>-0.11757430159759666</v>
      </c>
      <c r="I344" s="372"/>
    </row>
    <row r="345" spans="2:9" x14ac:dyDescent="0.25">
      <c r="B345" s="635">
        <v>42626</v>
      </c>
      <c r="C345" s="371">
        <v>8678</v>
      </c>
      <c r="D345" s="636">
        <v>16.18149</v>
      </c>
      <c r="E345" s="372">
        <v>14.34</v>
      </c>
      <c r="F345" s="372">
        <f t="shared" si="125"/>
        <v>-15980.450220000002</v>
      </c>
      <c r="G345" s="372">
        <f t="shared" si="126"/>
        <v>140422.97021999999</v>
      </c>
      <c r="H345" s="374">
        <f t="shared" si="127"/>
        <v>-0.11380225183218605</v>
      </c>
      <c r="I345" s="372"/>
    </row>
    <row r="346" spans="2:9" x14ac:dyDescent="0.25">
      <c r="B346" s="635">
        <v>42626</v>
      </c>
      <c r="C346" s="371">
        <v>8978</v>
      </c>
      <c r="D346" s="636">
        <v>16.124635000000001</v>
      </c>
      <c r="E346" s="372">
        <v>14.34</v>
      </c>
      <c r="F346" s="372">
        <f t="shared" si="125"/>
        <v>-16022.453030000013</v>
      </c>
      <c r="G346" s="372">
        <f t="shared" si="126"/>
        <v>144766.97303000002</v>
      </c>
      <c r="H346" s="374">
        <f t="shared" si="127"/>
        <v>-0.11067754401882594</v>
      </c>
      <c r="I346" s="372"/>
    </row>
    <row r="347" spans="2:9" x14ac:dyDescent="0.25">
      <c r="B347" s="635">
        <v>42626</v>
      </c>
      <c r="C347" s="371">
        <v>9278</v>
      </c>
      <c r="D347" s="636">
        <v>16.064019999999999</v>
      </c>
      <c r="E347" s="372">
        <v>14.34</v>
      </c>
      <c r="F347" s="372">
        <f t="shared" si="125"/>
        <v>-15995.457559999995</v>
      </c>
      <c r="G347" s="372">
        <f t="shared" si="126"/>
        <v>149041.97756</v>
      </c>
      <c r="H347" s="374">
        <f t="shared" si="127"/>
        <v>-0.10732182853357998</v>
      </c>
      <c r="I347" s="372" t="s">
        <v>278</v>
      </c>
    </row>
    <row r="348" spans="2:9" x14ac:dyDescent="0.25">
      <c r="B348" s="635">
        <v>42627</v>
      </c>
      <c r="C348" s="371">
        <v>9478</v>
      </c>
      <c r="D348" s="636">
        <v>16.020790999999999</v>
      </c>
      <c r="E348" s="372">
        <v>14.01</v>
      </c>
      <c r="F348" s="372">
        <f t="shared" ref="F348:F355" si="128">C348*(E348-D348)</f>
        <v>-19058.277097999995</v>
      </c>
      <c r="G348" s="372">
        <f t="shared" ref="G348:G355" si="129">IF(C348=0, 0,D348*C348)</f>
        <v>151845.05709799999</v>
      </c>
      <c r="H348" s="374">
        <f t="shared" ref="H348:H355" si="130">IF(C348=0, D348, (E348-D348)/D348)</f>
        <v>-0.1255113433537707</v>
      </c>
      <c r="I348" s="372"/>
    </row>
    <row r="349" spans="2:9" x14ac:dyDescent="0.25">
      <c r="B349" s="635">
        <v>42628</v>
      </c>
      <c r="C349" s="371">
        <v>9478</v>
      </c>
      <c r="D349" s="636">
        <v>16.015726999999998</v>
      </c>
      <c r="E349" s="372">
        <v>14.26</v>
      </c>
      <c r="F349" s="372">
        <f t="shared" si="128"/>
        <v>-16640.780505999985</v>
      </c>
      <c r="G349" s="372">
        <f t="shared" si="129"/>
        <v>151797.06050599998</v>
      </c>
      <c r="H349" s="374">
        <f t="shared" si="130"/>
        <v>-0.1096251827968845</v>
      </c>
      <c r="I349" s="372"/>
    </row>
    <row r="350" spans="2:9" ht="15" customHeight="1" x14ac:dyDescent="0.25">
      <c r="B350" s="635">
        <v>42629</v>
      </c>
      <c r="C350" s="371">
        <v>9478</v>
      </c>
      <c r="D350" s="636">
        <v>16.015726999999998</v>
      </c>
      <c r="E350" s="372">
        <v>14.24</v>
      </c>
      <c r="F350" s="372">
        <f t="shared" si="128"/>
        <v>-16830.340505999982</v>
      </c>
      <c r="G350" s="372">
        <f t="shared" si="129"/>
        <v>151797.06050599998</v>
      </c>
      <c r="H350" s="374">
        <f t="shared" si="130"/>
        <v>-0.1108739553315312</v>
      </c>
      <c r="I350" s="372"/>
    </row>
    <row r="351" spans="2:9" x14ac:dyDescent="0.25">
      <c r="B351" s="635">
        <v>42632</v>
      </c>
      <c r="C351" s="371">
        <v>9678</v>
      </c>
      <c r="D351" s="636">
        <v>15.975311</v>
      </c>
      <c r="E351" s="372">
        <v>14.09</v>
      </c>
      <c r="F351" s="372">
        <f t="shared" si="128"/>
        <v>-18246.039857999996</v>
      </c>
      <c r="G351" s="372">
        <f t="shared" si="129"/>
        <v>154609.05985799999</v>
      </c>
      <c r="H351" s="373">
        <f t="shared" si="130"/>
        <v>-0.11801404054043141</v>
      </c>
      <c r="I351" s="372"/>
    </row>
    <row r="352" spans="2:9" x14ac:dyDescent="0.25">
      <c r="B352" s="635">
        <v>42633</v>
      </c>
      <c r="C352" s="371">
        <v>9878</v>
      </c>
      <c r="D352" s="636">
        <v>15.937544000000001</v>
      </c>
      <c r="E352" s="372">
        <v>13.87</v>
      </c>
      <c r="F352" s="372">
        <f t="shared" si="128"/>
        <v>-20423.199632000014</v>
      </c>
      <c r="G352" s="372">
        <f t="shared" si="129"/>
        <v>157431.05963200002</v>
      </c>
      <c r="H352" s="373">
        <f t="shared" si="130"/>
        <v>-0.12972789282966068</v>
      </c>
      <c r="I352" s="372"/>
    </row>
    <row r="353" spans="2:9" x14ac:dyDescent="0.25">
      <c r="B353" s="635">
        <v>42633</v>
      </c>
      <c r="C353" s="371">
        <v>10000</v>
      </c>
      <c r="D353" s="636">
        <v>15.915126000000001</v>
      </c>
      <c r="E353" s="372">
        <v>13.87</v>
      </c>
      <c r="F353" s="372">
        <f t="shared" si="128"/>
        <v>-20451.260000000017</v>
      </c>
      <c r="G353" s="372">
        <f t="shared" si="129"/>
        <v>159151.26</v>
      </c>
      <c r="H353" s="373">
        <f t="shared" si="130"/>
        <v>-0.12850203008132022</v>
      </c>
      <c r="I353" s="372"/>
    </row>
    <row r="354" spans="2:9" x14ac:dyDescent="0.25">
      <c r="B354" s="635">
        <v>42634</v>
      </c>
      <c r="C354" s="371">
        <v>9678</v>
      </c>
      <c r="D354" s="636">
        <v>15.969538999999999</v>
      </c>
      <c r="E354" s="372">
        <v>14.65</v>
      </c>
      <c r="F354" s="372">
        <f t="shared" si="128"/>
        <v>-12770.498441999989</v>
      </c>
      <c r="G354" s="372">
        <f t="shared" si="129"/>
        <v>154553.19844199999</v>
      </c>
      <c r="H354" s="373">
        <f t="shared" si="130"/>
        <v>-8.2628496664806608E-2</v>
      </c>
      <c r="I354" s="372"/>
    </row>
    <row r="355" spans="2:9" x14ac:dyDescent="0.25">
      <c r="B355" s="635">
        <v>42634</v>
      </c>
      <c r="C355" s="371">
        <v>9278</v>
      </c>
      <c r="D355" s="636">
        <v>16.026872999999998</v>
      </c>
      <c r="E355" s="372">
        <v>14.65</v>
      </c>
      <c r="F355" s="372">
        <f t="shared" si="128"/>
        <v>-12774.627693999981</v>
      </c>
      <c r="G355" s="372">
        <f t="shared" si="129"/>
        <v>148697.32769399998</v>
      </c>
      <c r="H355" s="373">
        <f t="shared" si="130"/>
        <v>-8.5910270830747718E-2</v>
      </c>
      <c r="I355" s="372">
        <v>16</v>
      </c>
    </row>
    <row r="356" spans="2:9" x14ac:dyDescent="0.25">
      <c r="B356" s="635">
        <v>42635</v>
      </c>
      <c r="C356" s="371">
        <v>9278</v>
      </c>
      <c r="D356" s="636">
        <v>16.026872999999998</v>
      </c>
      <c r="E356" s="372">
        <v>14.87</v>
      </c>
      <c r="F356" s="372">
        <f t="shared" ref="F356:F367" si="131">C356*(E356-D356)</f>
        <v>-10733.467693999992</v>
      </c>
      <c r="G356" s="372">
        <f t="shared" ref="G356:G367" si="132">IF(C356=0, 0,D356*C356)</f>
        <v>148697.32769399998</v>
      </c>
      <c r="H356" s="373">
        <f t="shared" ref="H356:H367" si="133">IF(C356=0, D356, (E356-D356)/D356)</f>
        <v>-7.2183326092369937E-2</v>
      </c>
      <c r="I356" s="372"/>
    </row>
    <row r="357" spans="2:9" x14ac:dyDescent="0.25">
      <c r="B357" s="635">
        <v>42636</v>
      </c>
      <c r="C357" s="371">
        <v>9478</v>
      </c>
      <c r="D357" s="636">
        <v>15.992122</v>
      </c>
      <c r="E357" s="372">
        <v>14.49</v>
      </c>
      <c r="F357" s="372">
        <f t="shared" si="131"/>
        <v>-14237.112315999999</v>
      </c>
      <c r="G357" s="372">
        <f t="shared" si="132"/>
        <v>151573.33231600001</v>
      </c>
      <c r="H357" s="373">
        <f t="shared" si="133"/>
        <v>-9.39288732289561E-2</v>
      </c>
      <c r="I357" s="372"/>
    </row>
    <row r="358" spans="2:9" x14ac:dyDescent="0.25">
      <c r="B358" s="635">
        <v>42639</v>
      </c>
      <c r="C358" s="371">
        <v>9278</v>
      </c>
      <c r="D358" s="636">
        <v>16.019549999999999</v>
      </c>
      <c r="E358" s="372">
        <v>14.41</v>
      </c>
      <c r="F358" s="372">
        <f t="shared" si="131"/>
        <v>-14933.404899999989</v>
      </c>
      <c r="G358" s="372">
        <f t="shared" si="132"/>
        <v>148629.38489999998</v>
      </c>
      <c r="H358" s="373">
        <f t="shared" si="133"/>
        <v>-0.10047410819904422</v>
      </c>
      <c r="I358" s="372">
        <v>16</v>
      </c>
    </row>
    <row r="359" spans="2:9" x14ac:dyDescent="0.25">
      <c r="B359" s="635">
        <v>42639</v>
      </c>
      <c r="C359" s="371">
        <v>9478</v>
      </c>
      <c r="D359" s="636">
        <v>15.987468</v>
      </c>
      <c r="E359" s="372">
        <v>14.41</v>
      </c>
      <c r="F359" s="372">
        <f t="shared" si="131"/>
        <v>-14951.241703999996</v>
      </c>
      <c r="G359" s="372">
        <f t="shared" si="132"/>
        <v>151529.221704</v>
      </c>
      <c r="H359" s="373">
        <f t="shared" si="133"/>
        <v>-9.8669032519721048E-2</v>
      </c>
      <c r="I359" s="372"/>
    </row>
    <row r="360" spans="2:9" x14ac:dyDescent="0.25">
      <c r="B360" s="635">
        <v>42639</v>
      </c>
      <c r="C360" s="371">
        <v>9678</v>
      </c>
      <c r="D360" s="636">
        <v>15.954266000000001</v>
      </c>
      <c r="E360" s="372">
        <v>14.41</v>
      </c>
      <c r="F360" s="372">
        <f t="shared" si="131"/>
        <v>-14945.406348000004</v>
      </c>
      <c r="G360" s="372">
        <f t="shared" si="132"/>
        <v>154405.386348</v>
      </c>
      <c r="H360" s="373">
        <f t="shared" si="133"/>
        <v>-9.6793296538994669E-2</v>
      </c>
      <c r="I360" s="372"/>
    </row>
    <row r="361" spans="2:9" x14ac:dyDescent="0.25">
      <c r="B361" s="635">
        <v>42640</v>
      </c>
      <c r="C361" s="371">
        <v>10000</v>
      </c>
      <c r="D361" s="636">
        <v>15.890373</v>
      </c>
      <c r="E361" s="372">
        <v>14.06</v>
      </c>
      <c r="F361" s="372">
        <f t="shared" si="131"/>
        <v>-18303.73</v>
      </c>
      <c r="G361" s="372">
        <f t="shared" si="132"/>
        <v>158903.73000000001</v>
      </c>
      <c r="H361" s="373">
        <f t="shared" si="133"/>
        <v>-0.11518754153851517</v>
      </c>
      <c r="I361" s="372"/>
    </row>
    <row r="362" spans="2:9" x14ac:dyDescent="0.25">
      <c r="B362" s="635">
        <v>42641</v>
      </c>
      <c r="C362" s="371">
        <v>9278</v>
      </c>
      <c r="D362" s="636">
        <v>15.968</v>
      </c>
      <c r="E362" s="372">
        <v>15.18</v>
      </c>
      <c r="F362" s="372">
        <f t="shared" si="131"/>
        <v>-7311.0640000000021</v>
      </c>
      <c r="G362" s="372">
        <f t="shared" si="132"/>
        <v>148151.10399999999</v>
      </c>
      <c r="H362" s="373">
        <f t="shared" si="133"/>
        <v>-4.9348697394789594E-2</v>
      </c>
      <c r="I362" s="372" t="s">
        <v>291</v>
      </c>
    </row>
    <row r="363" spans="2:9" x14ac:dyDescent="0.25">
      <c r="B363" s="635">
        <v>42641</v>
      </c>
      <c r="C363" s="371">
        <v>8978</v>
      </c>
      <c r="D363" s="636">
        <v>15.991466000000001</v>
      </c>
      <c r="E363" s="372">
        <v>15.18</v>
      </c>
      <c r="F363" s="372">
        <f t="shared" si="131"/>
        <v>-7285.3417480000098</v>
      </c>
      <c r="G363" s="372">
        <f t="shared" si="132"/>
        <v>143571.38174800001</v>
      </c>
      <c r="H363" s="373">
        <f t="shared" si="133"/>
        <v>-5.0743690415875634E-2</v>
      </c>
      <c r="I363" s="372"/>
    </row>
    <row r="364" spans="2:9" x14ac:dyDescent="0.25">
      <c r="B364" s="635">
        <v>42642</v>
      </c>
      <c r="C364" s="371">
        <v>8678</v>
      </c>
      <c r="D364" s="636">
        <v>16.016100000000002</v>
      </c>
      <c r="E364" s="372">
        <v>15.9</v>
      </c>
      <c r="F364" s="372">
        <f t="shared" si="131"/>
        <v>-1007.5158000000105</v>
      </c>
      <c r="G364" s="372">
        <f t="shared" si="132"/>
        <v>138987.71580000001</v>
      </c>
      <c r="H364" s="373">
        <f t="shared" si="133"/>
        <v>-7.2489557382884214E-3</v>
      </c>
      <c r="I364" s="372"/>
    </row>
    <row r="365" spans="2:9" x14ac:dyDescent="0.25">
      <c r="B365" s="635">
        <v>42642</v>
      </c>
      <c r="C365" s="371">
        <v>7978</v>
      </c>
      <c r="D365" s="636">
        <v>16.036825</v>
      </c>
      <c r="E365" s="372">
        <v>15.9</v>
      </c>
      <c r="F365" s="372">
        <f t="shared" si="131"/>
        <v>-1091.5898499999998</v>
      </c>
      <c r="G365" s="372">
        <f t="shared" si="132"/>
        <v>127941.78985</v>
      </c>
      <c r="H365" s="373">
        <f t="shared" si="133"/>
        <v>-8.5319257396648009E-3</v>
      </c>
      <c r="I365" s="372"/>
    </row>
    <row r="366" spans="2:9" x14ac:dyDescent="0.25">
      <c r="B366" s="635">
        <v>42642</v>
      </c>
      <c r="C366" s="371">
        <v>7764</v>
      </c>
      <c r="D366" s="636">
        <v>16.038399999999999</v>
      </c>
      <c r="E366" s="372">
        <v>15.9</v>
      </c>
      <c r="F366" s="372">
        <f t="shared" si="131"/>
        <v>-1074.5375999999919</v>
      </c>
      <c r="G366" s="372">
        <f t="shared" si="132"/>
        <v>124522.1376</v>
      </c>
      <c r="H366" s="373">
        <f t="shared" si="133"/>
        <v>-8.6292897047086353E-3</v>
      </c>
      <c r="I366" s="372"/>
    </row>
    <row r="367" spans="2:9" x14ac:dyDescent="0.25">
      <c r="B367" s="635">
        <v>42642</v>
      </c>
      <c r="C367" s="371">
        <v>8178</v>
      </c>
      <c r="D367" s="636">
        <v>16.019235999999999</v>
      </c>
      <c r="E367" s="372">
        <v>15.9</v>
      </c>
      <c r="F367" s="372">
        <f t="shared" si="131"/>
        <v>-975.11200799999187</v>
      </c>
      <c r="G367" s="372">
        <f t="shared" si="132"/>
        <v>131005.31200799999</v>
      </c>
      <c r="H367" s="373">
        <f t="shared" si="133"/>
        <v>-7.4433012910228059E-3</v>
      </c>
      <c r="I367" s="372" t="s">
        <v>292</v>
      </c>
    </row>
    <row r="368" spans="2:9" x14ac:dyDescent="0.25">
      <c r="B368" s="635">
        <v>42643</v>
      </c>
      <c r="C368" s="371">
        <v>8178</v>
      </c>
      <c r="D368" s="636">
        <v>16.019235999999999</v>
      </c>
      <c r="E368" s="372">
        <v>15.81</v>
      </c>
      <c r="F368" s="372">
        <f>C368*(E368-D368)</f>
        <v>-1711.1320079999907</v>
      </c>
      <c r="G368" s="372">
        <f>IF(C368=0, 0,D368*C368)</f>
        <v>131005.31200799999</v>
      </c>
      <c r="H368" s="373">
        <f>IF(C368=0, D368, (E368-D368)/D368)</f>
        <v>-1.3061546755413234E-2</v>
      </c>
      <c r="I368" s="372"/>
    </row>
    <row r="369" spans="2:9" x14ac:dyDescent="0.25">
      <c r="B369" s="635">
        <v>42646</v>
      </c>
      <c r="C369" s="371">
        <v>8178</v>
      </c>
      <c r="D369" s="636">
        <v>16.019235999999999</v>
      </c>
      <c r="E369" s="372">
        <v>15.98</v>
      </c>
      <c r="F369" s="372">
        <f t="shared" ref="F369:F378" si="134">C369*(E369-D369)</f>
        <v>-320.8720079999913</v>
      </c>
      <c r="G369" s="372">
        <f t="shared" ref="G369:G378" si="135">IF(C369=0, 0,D369*C369)</f>
        <v>131005.31200799999</v>
      </c>
      <c r="H369" s="373">
        <f t="shared" ref="H369:H378" si="136">IF(C369=0, D369, (E369-D369)/D369)</f>
        <v>-2.4493053226757469E-3</v>
      </c>
      <c r="I369" s="372"/>
    </row>
    <row r="370" spans="2:9" x14ac:dyDescent="0.25">
      <c r="B370" s="635">
        <v>42647</v>
      </c>
      <c r="C370" s="371">
        <v>8678</v>
      </c>
      <c r="D370" s="636">
        <v>16.010061</v>
      </c>
      <c r="E370" s="372">
        <v>15.63</v>
      </c>
      <c r="F370" s="372">
        <f t="shared" si="134"/>
        <v>-3298.169357999996</v>
      </c>
      <c r="G370" s="372">
        <f t="shared" si="135"/>
        <v>138935.309358</v>
      </c>
      <c r="H370" s="373">
        <f t="shared" si="136"/>
        <v>-2.3738885192255015E-2</v>
      </c>
      <c r="I370" s="372"/>
    </row>
    <row r="371" spans="2:9" ht="15" customHeight="1" x14ac:dyDescent="0.25">
      <c r="B371" s="635">
        <v>42647</v>
      </c>
      <c r="C371" s="371">
        <v>9178</v>
      </c>
      <c r="D371" s="636">
        <v>15.988811</v>
      </c>
      <c r="E371" s="372">
        <v>15.63</v>
      </c>
      <c r="F371" s="372">
        <f t="shared" si="134"/>
        <v>-3293.1673579999938</v>
      </c>
      <c r="G371" s="372">
        <f t="shared" si="135"/>
        <v>146745.30735799999</v>
      </c>
      <c r="H371" s="373">
        <f t="shared" si="136"/>
        <v>-2.2441381038277287E-2</v>
      </c>
      <c r="I371" s="372"/>
    </row>
    <row r="372" spans="2:9" x14ac:dyDescent="0.25">
      <c r="B372" s="635">
        <v>42648</v>
      </c>
      <c r="C372" s="371">
        <v>8178</v>
      </c>
      <c r="D372" s="636">
        <v>15.977725</v>
      </c>
      <c r="E372" s="372">
        <v>16.12</v>
      </c>
      <c r="F372" s="372">
        <f t="shared" si="134"/>
        <v>1163.524950000012</v>
      </c>
      <c r="G372" s="372">
        <f t="shared" si="135"/>
        <v>130665.83504999999</v>
      </c>
      <c r="H372" s="373">
        <f t="shared" si="136"/>
        <v>8.904584351026288E-3</v>
      </c>
      <c r="I372" s="372">
        <v>15.75</v>
      </c>
    </row>
    <row r="373" spans="2:9" x14ac:dyDescent="0.25">
      <c r="B373" s="635">
        <v>42648</v>
      </c>
      <c r="C373" s="392">
        <v>7678</v>
      </c>
      <c r="D373" s="637">
        <v>15.951529000000001</v>
      </c>
      <c r="E373" s="372">
        <v>16.12</v>
      </c>
      <c r="F373" s="372">
        <f t="shared" si="134"/>
        <v>1293.5203380000021</v>
      </c>
      <c r="G373" s="372">
        <f t="shared" si="135"/>
        <v>122475.839662</v>
      </c>
      <c r="H373" s="373">
        <f t="shared" si="136"/>
        <v>1.0561432700275958E-2</v>
      </c>
      <c r="I373" s="372" t="s">
        <v>296</v>
      </c>
    </row>
    <row r="374" spans="2:9" x14ac:dyDescent="0.25">
      <c r="B374" s="635">
        <v>42649</v>
      </c>
      <c r="C374" s="371">
        <v>8678</v>
      </c>
      <c r="D374" s="636">
        <v>15.941579000000001</v>
      </c>
      <c r="E374" s="372">
        <v>16.079999999999998</v>
      </c>
      <c r="F374" s="372">
        <f t="shared" si="134"/>
        <v>1201.2174379999781</v>
      </c>
      <c r="G374" s="372">
        <f t="shared" si="135"/>
        <v>138341.022562</v>
      </c>
      <c r="H374" s="373">
        <f t="shared" si="136"/>
        <v>8.683016908174369E-3</v>
      </c>
      <c r="I374" s="372"/>
    </row>
    <row r="375" spans="2:9" x14ac:dyDescent="0.25">
      <c r="B375" s="635">
        <v>42650</v>
      </c>
      <c r="C375" s="371">
        <v>8978</v>
      </c>
      <c r="D375" s="636">
        <v>15.935176999999999</v>
      </c>
      <c r="E375" s="372">
        <v>15.56</v>
      </c>
      <c r="F375" s="372">
        <f t="shared" si="134"/>
        <v>-3368.3391059999908</v>
      </c>
      <c r="G375" s="372">
        <f t="shared" si="135"/>
        <v>143066.01910599999</v>
      </c>
      <c r="H375" s="373">
        <f t="shared" si="136"/>
        <v>-2.354394933925108E-2</v>
      </c>
      <c r="I375" s="372"/>
    </row>
    <row r="376" spans="2:9" x14ac:dyDescent="0.25">
      <c r="B376" s="635">
        <v>42650</v>
      </c>
      <c r="C376" s="371">
        <v>9278</v>
      </c>
      <c r="D376" s="636">
        <v>15.923692000000001</v>
      </c>
      <c r="E376" s="372">
        <v>15.56</v>
      </c>
      <c r="F376" s="372">
        <f t="shared" si="134"/>
        <v>-3374.3343760000034</v>
      </c>
      <c r="G376" s="372">
        <f t="shared" si="135"/>
        <v>147740.01437600001</v>
      </c>
      <c r="H376" s="373">
        <f t="shared" si="136"/>
        <v>-2.2839678134945106E-2</v>
      </c>
      <c r="I376" s="372">
        <v>15.8</v>
      </c>
    </row>
    <row r="377" spans="2:9" x14ac:dyDescent="0.25">
      <c r="B377" s="635">
        <v>42653</v>
      </c>
      <c r="C377" s="392">
        <v>9678</v>
      </c>
      <c r="D377" s="637">
        <v>15.9153</v>
      </c>
      <c r="E377" s="372">
        <v>15.72</v>
      </c>
      <c r="F377" s="372">
        <f t="shared" si="134"/>
        <v>-1890.1133999999961</v>
      </c>
      <c r="G377" s="372">
        <f t="shared" si="135"/>
        <v>154028.27340000001</v>
      </c>
      <c r="H377" s="373">
        <f t="shared" si="136"/>
        <v>-1.2271210721758281E-2</v>
      </c>
      <c r="I377" s="372"/>
    </row>
    <row r="378" spans="2:9" x14ac:dyDescent="0.25">
      <c r="B378" s="635">
        <v>42661</v>
      </c>
      <c r="C378" s="392">
        <v>10000</v>
      </c>
      <c r="D378" s="637">
        <v>15.901258</v>
      </c>
      <c r="E378" s="372">
        <v>14.2</v>
      </c>
      <c r="F378" s="372">
        <f t="shared" si="134"/>
        <v>-17012.580000000009</v>
      </c>
      <c r="G378" s="372">
        <f t="shared" si="135"/>
        <v>159012.58000000002</v>
      </c>
      <c r="H378" s="373">
        <f t="shared" si="136"/>
        <v>-0.10698889358313669</v>
      </c>
      <c r="I378" s="372"/>
    </row>
    <row r="379" spans="2:9" x14ac:dyDescent="0.25">
      <c r="B379" s="635">
        <v>42663</v>
      </c>
      <c r="C379" s="371">
        <v>10000</v>
      </c>
      <c r="D379" s="636">
        <v>15.901258</v>
      </c>
      <c r="E379" s="372">
        <v>14.7</v>
      </c>
      <c r="F379" s="372">
        <f>C379*(E379-D379)</f>
        <v>-12012.580000000011</v>
      </c>
      <c r="G379" s="372">
        <f>IF(C379=0, 0,D379*C379)</f>
        <v>159012.58000000002</v>
      </c>
      <c r="H379" s="374">
        <f>IF(C379=0, D379, (E379-D379)/D379)</f>
        <v>-7.5544840540289399E-2</v>
      </c>
      <c r="I379" s="372"/>
    </row>
    <row r="380" spans="2:9" x14ac:dyDescent="0.25">
      <c r="B380" s="635">
        <v>42668</v>
      </c>
      <c r="C380" s="371">
        <v>11000</v>
      </c>
      <c r="D380" s="636">
        <v>15.74728</v>
      </c>
      <c r="E380" s="372">
        <v>14.18</v>
      </c>
      <c r="F380" s="372">
        <f>C380*(E380-D380)</f>
        <v>-17240.080000000002</v>
      </c>
      <c r="G380" s="372">
        <f>IF(C380=0, 0,D380*C380)</f>
        <v>173220.08</v>
      </c>
      <c r="H380" s="374">
        <f>IF(C380=0, D380, (E380-D380)/D380)</f>
        <v>-9.9527029429844413E-2</v>
      </c>
      <c r="I380" s="372"/>
    </row>
    <row r="381" spans="2:9" x14ac:dyDescent="0.25">
      <c r="B381" s="635">
        <v>42670</v>
      </c>
      <c r="C381" s="371">
        <v>11500</v>
      </c>
      <c r="D381" s="636">
        <v>15.679137000000001</v>
      </c>
      <c r="E381" s="372">
        <v>13.95</v>
      </c>
      <c r="F381" s="372">
        <f>C381*(E381-D381)</f>
        <v>-19885.075500000017</v>
      </c>
      <c r="G381" s="372">
        <f>IF(C381=0, 0,D381*C381)</f>
        <v>180310.07550000001</v>
      </c>
      <c r="H381" s="374">
        <f>IF(C381=0, D381, (E381-D381)/D381)</f>
        <v>-0.11028266415428357</v>
      </c>
      <c r="I381" s="372"/>
    </row>
    <row r="382" spans="2:9" x14ac:dyDescent="0.25">
      <c r="B382" s="635">
        <v>42670</v>
      </c>
      <c r="C382" s="371">
        <v>12000</v>
      </c>
      <c r="D382" s="636">
        <v>15.6113</v>
      </c>
      <c r="E382" s="372">
        <v>13.95</v>
      </c>
      <c r="F382" s="372">
        <f t="shared" ref="F382:F389" si="137">C382*(E382-D382)</f>
        <v>-19935.600000000009</v>
      </c>
      <c r="G382" s="372">
        <f t="shared" ref="G382:G389" si="138">IF(C382=0, 0,D382*C382)</f>
        <v>187335.6</v>
      </c>
      <c r="H382" s="374">
        <f t="shared" ref="H382:H389" si="139">IF(C382=0, D382, (E382-D382)/D382)</f>
        <v>-0.10641650599245422</v>
      </c>
      <c r="I382" s="372"/>
    </row>
    <row r="383" spans="2:9" x14ac:dyDescent="0.25">
      <c r="B383" s="635">
        <v>42670</v>
      </c>
      <c r="C383" s="371">
        <v>12500</v>
      </c>
      <c r="D383" s="636">
        <v>15.542006000000001</v>
      </c>
      <c r="E383" s="372">
        <v>13.95</v>
      </c>
      <c r="F383" s="372">
        <f t="shared" si="137"/>
        <v>-19900.075000000015</v>
      </c>
      <c r="G383" s="372">
        <f t="shared" si="138"/>
        <v>194275.07500000001</v>
      </c>
      <c r="H383" s="374">
        <f t="shared" si="139"/>
        <v>-0.10243246592492637</v>
      </c>
      <c r="I383" s="372"/>
    </row>
    <row r="384" spans="2:9" x14ac:dyDescent="0.25">
      <c r="B384" s="635">
        <v>42671</v>
      </c>
      <c r="C384" s="371">
        <v>12500</v>
      </c>
      <c r="D384" s="636">
        <v>15.536431</v>
      </c>
      <c r="E384" s="372">
        <v>13.72</v>
      </c>
      <c r="F384" s="372">
        <f t="shared" si="137"/>
        <v>-22705.387499999997</v>
      </c>
      <c r="G384" s="372">
        <f t="shared" si="138"/>
        <v>194205.38750000001</v>
      </c>
      <c r="H384" s="374">
        <f t="shared" si="139"/>
        <v>-0.11691430290521676</v>
      </c>
      <c r="I384" s="372"/>
    </row>
    <row r="385" spans="2:9" x14ac:dyDescent="0.25">
      <c r="B385" s="635">
        <v>42674</v>
      </c>
      <c r="C385" s="371">
        <v>12500</v>
      </c>
      <c r="D385" s="636">
        <v>15.5313</v>
      </c>
      <c r="E385" s="372">
        <v>13.18</v>
      </c>
      <c r="F385" s="372">
        <f t="shared" si="137"/>
        <v>-29391.250000000004</v>
      </c>
      <c r="G385" s="372">
        <f t="shared" si="138"/>
        <v>194141.25</v>
      </c>
      <c r="H385" s="374">
        <f t="shared" si="139"/>
        <v>-0.15139106192012261</v>
      </c>
      <c r="I385" s="372"/>
    </row>
    <row r="386" spans="2:9" x14ac:dyDescent="0.25">
      <c r="B386" s="635">
        <v>42676</v>
      </c>
      <c r="C386" s="371">
        <v>12500</v>
      </c>
      <c r="D386" s="636">
        <v>15.528746</v>
      </c>
      <c r="E386" s="372">
        <v>12.78</v>
      </c>
      <c r="F386" s="372">
        <f t="shared" si="137"/>
        <v>-34359.325000000004</v>
      </c>
      <c r="G386" s="372">
        <f t="shared" si="138"/>
        <v>194109.32500000001</v>
      </c>
      <c r="H386" s="373">
        <f t="shared" si="139"/>
        <v>-0.17701017197396368</v>
      </c>
      <c r="I386" s="372"/>
    </row>
    <row r="387" spans="2:9" x14ac:dyDescent="0.25">
      <c r="B387" s="635">
        <v>42677</v>
      </c>
      <c r="C387" s="371">
        <v>10000</v>
      </c>
      <c r="D387" s="636">
        <v>15.813000000000001</v>
      </c>
      <c r="E387" s="372">
        <v>14.15</v>
      </c>
      <c r="F387" s="372">
        <f t="shared" si="137"/>
        <v>-16630.000000000004</v>
      </c>
      <c r="G387" s="372">
        <f t="shared" si="138"/>
        <v>158130</v>
      </c>
      <c r="H387" s="373">
        <f t="shared" si="139"/>
        <v>-0.10516663504711314</v>
      </c>
      <c r="I387" s="372"/>
    </row>
    <row r="388" spans="2:9" x14ac:dyDescent="0.25">
      <c r="B388" s="635">
        <v>42678</v>
      </c>
      <c r="C388" s="371">
        <v>11000</v>
      </c>
      <c r="D388" s="636">
        <v>15.62</v>
      </c>
      <c r="E388" s="372">
        <v>13.69</v>
      </c>
      <c r="F388" s="372">
        <f t="shared" si="137"/>
        <v>-21229.999999999996</v>
      </c>
      <c r="G388" s="372">
        <f t="shared" si="138"/>
        <v>171820</v>
      </c>
      <c r="H388" s="373">
        <f t="shared" si="139"/>
        <v>-0.12355953905249678</v>
      </c>
      <c r="I388" s="372"/>
    </row>
    <row r="389" spans="2:9" x14ac:dyDescent="0.25">
      <c r="B389" s="635">
        <v>42701</v>
      </c>
      <c r="C389" s="371">
        <v>7678</v>
      </c>
      <c r="D389" s="636">
        <v>15.484220000000001</v>
      </c>
      <c r="E389" s="372">
        <v>16.28</v>
      </c>
      <c r="F389" s="372">
        <f t="shared" si="137"/>
        <v>6109.9988400000047</v>
      </c>
      <c r="G389" s="372">
        <f t="shared" si="138"/>
        <v>118887.84116000001</v>
      </c>
      <c r="H389" s="373">
        <f t="shared" si="139"/>
        <v>5.1392966516879801E-2</v>
      </c>
      <c r="I389" s="372" t="s">
        <v>307</v>
      </c>
    </row>
    <row r="390" spans="2:9" x14ac:dyDescent="0.25">
      <c r="B390" s="635">
        <v>42702</v>
      </c>
      <c r="C390" s="371">
        <v>8178</v>
      </c>
      <c r="D390" s="636">
        <v>15.519399999999999</v>
      </c>
      <c r="E390" s="372">
        <v>15.62</v>
      </c>
      <c r="F390" s="372">
        <f t="shared" ref="F390:F407" si="140">C390*(E390-D390)</f>
        <v>822.70680000000016</v>
      </c>
      <c r="G390" s="372">
        <f t="shared" ref="G390:G407" si="141">IF(C390=0, 0,D390*C390)</f>
        <v>126917.6532</v>
      </c>
      <c r="H390" s="373">
        <f t="shared" ref="H390:H407" si="142">IF(C390=0, D390, (E390-D390)/D390)</f>
        <v>6.4822093637640649E-3</v>
      </c>
      <c r="I390" s="372" t="s">
        <v>312</v>
      </c>
    </row>
    <row r="391" spans="2:9" x14ac:dyDescent="0.25">
      <c r="B391" s="635">
        <v>42702</v>
      </c>
      <c r="C391" s="371">
        <v>8678</v>
      </c>
      <c r="D391" s="636">
        <v>15.5304</v>
      </c>
      <c r="E391" s="372">
        <v>15.54</v>
      </c>
      <c r="F391" s="372">
        <f t="shared" si="140"/>
        <v>83.308799999990825</v>
      </c>
      <c r="G391" s="372">
        <f t="shared" si="141"/>
        <v>134772.8112</v>
      </c>
      <c r="H391" s="373">
        <f t="shared" si="142"/>
        <v>6.1814248184199655E-4</v>
      </c>
      <c r="I391" s="372"/>
    </row>
    <row r="392" spans="2:9" x14ac:dyDescent="0.25">
      <c r="B392" s="635">
        <v>42703</v>
      </c>
      <c r="C392" s="371">
        <v>8978</v>
      </c>
      <c r="D392" s="636">
        <v>15.5053</v>
      </c>
      <c r="E392" s="372">
        <v>14.95</v>
      </c>
      <c r="F392" s="372">
        <f t="shared" si="140"/>
        <v>-4985.4834000000074</v>
      </c>
      <c r="G392" s="372">
        <f t="shared" si="141"/>
        <v>139206.5834</v>
      </c>
      <c r="H392" s="373">
        <f t="shared" si="142"/>
        <v>-3.5813560524465882E-2</v>
      </c>
      <c r="I392" s="372"/>
    </row>
    <row r="393" spans="2:9" ht="15" customHeight="1" x14ac:dyDescent="0.25">
      <c r="B393" s="635">
        <v>42704</v>
      </c>
      <c r="C393" s="371">
        <v>5178</v>
      </c>
      <c r="D393" s="636">
        <v>14.3947</v>
      </c>
      <c r="E393" s="372">
        <v>18.059999999999999</v>
      </c>
      <c r="F393" s="372">
        <f t="shared" si="140"/>
        <v>18978.923399999992</v>
      </c>
      <c r="G393" s="372">
        <f t="shared" si="141"/>
        <v>74535.756600000008</v>
      </c>
      <c r="H393" s="373">
        <f t="shared" si="142"/>
        <v>0.25462843963403187</v>
      </c>
      <c r="I393" s="372"/>
    </row>
    <row r="394" spans="2:9" x14ac:dyDescent="0.25">
      <c r="B394" s="635">
        <v>42705</v>
      </c>
      <c r="C394" s="371">
        <v>4678</v>
      </c>
      <c r="D394" s="636">
        <v>13.905799999999999</v>
      </c>
      <c r="E394" s="372">
        <v>17.89</v>
      </c>
      <c r="F394" s="372">
        <f t="shared" si="140"/>
        <v>18638.087600000006</v>
      </c>
      <c r="G394" s="372">
        <f t="shared" si="141"/>
        <v>65051.332399999999</v>
      </c>
      <c r="H394" s="373">
        <f t="shared" si="142"/>
        <v>0.28651354111234173</v>
      </c>
      <c r="I394" s="372"/>
    </row>
    <row r="395" spans="2:9" x14ac:dyDescent="0.25">
      <c r="B395" s="635">
        <v>42705</v>
      </c>
      <c r="C395" s="371">
        <v>5000</v>
      </c>
      <c r="D395" s="636">
        <v>14.1645</v>
      </c>
      <c r="E395" s="372">
        <v>17.89</v>
      </c>
      <c r="F395" s="372">
        <f t="shared" si="140"/>
        <v>18627.5</v>
      </c>
      <c r="G395" s="372">
        <f t="shared" si="141"/>
        <v>70822.5</v>
      </c>
      <c r="H395" s="373">
        <f t="shared" si="142"/>
        <v>0.2630166966712556</v>
      </c>
      <c r="I395" s="372"/>
    </row>
    <row r="396" spans="2:9" x14ac:dyDescent="0.25">
      <c r="B396" s="635">
        <v>42708</v>
      </c>
      <c r="C396" s="371">
        <v>5000</v>
      </c>
      <c r="D396" s="636">
        <v>14.1645</v>
      </c>
      <c r="E396" s="372">
        <v>18.2</v>
      </c>
      <c r="F396" s="372">
        <f t="shared" si="140"/>
        <v>20177.499999999996</v>
      </c>
      <c r="G396" s="372">
        <f t="shared" si="141"/>
        <v>70822.5</v>
      </c>
      <c r="H396" s="373">
        <f t="shared" si="142"/>
        <v>0.28490239683716323</v>
      </c>
      <c r="I396" s="372"/>
    </row>
    <row r="397" spans="2:9" x14ac:dyDescent="0.25">
      <c r="B397" s="635">
        <v>42711</v>
      </c>
      <c r="C397" s="371">
        <v>5000</v>
      </c>
      <c r="D397" s="636">
        <v>14.143514</v>
      </c>
      <c r="E397" s="372">
        <v>18.420000000000002</v>
      </c>
      <c r="F397" s="372">
        <f t="shared" si="140"/>
        <v>21382.430000000011</v>
      </c>
      <c r="G397" s="372">
        <f t="shared" si="141"/>
        <v>70717.569999999992</v>
      </c>
      <c r="H397" s="373">
        <f t="shared" si="142"/>
        <v>0.3023637548631834</v>
      </c>
      <c r="I397" s="372"/>
    </row>
    <row r="398" spans="2:9" x14ac:dyDescent="0.25">
      <c r="B398" s="635">
        <v>42713</v>
      </c>
      <c r="C398" s="371">
        <v>5000</v>
      </c>
      <c r="D398" s="636">
        <v>14.127554</v>
      </c>
      <c r="E398" s="372">
        <v>18.25</v>
      </c>
      <c r="F398" s="372">
        <f t="shared" si="140"/>
        <v>20612.23</v>
      </c>
      <c r="G398" s="372">
        <f t="shared" si="141"/>
        <v>70637.77</v>
      </c>
      <c r="H398" s="373">
        <f t="shared" si="142"/>
        <v>0.29180182216964096</v>
      </c>
      <c r="I398" s="372"/>
    </row>
    <row r="399" spans="2:9" x14ac:dyDescent="0.25">
      <c r="B399" s="635">
        <v>42716</v>
      </c>
      <c r="C399" s="371">
        <v>5000</v>
      </c>
      <c r="D399" s="636">
        <v>14.0276</v>
      </c>
      <c r="E399" s="372">
        <v>18.489999999999998</v>
      </c>
      <c r="F399" s="372">
        <f t="shared" si="140"/>
        <v>22311.999999999993</v>
      </c>
      <c r="G399" s="372">
        <f t="shared" si="141"/>
        <v>70138</v>
      </c>
      <c r="H399" s="373">
        <f t="shared" si="142"/>
        <v>0.3181157147338104</v>
      </c>
      <c r="I399" s="372" t="s">
        <v>185</v>
      </c>
    </row>
    <row r="400" spans="2:9" ht="15" customHeight="1" x14ac:dyDescent="0.25">
      <c r="B400" s="635">
        <v>42718</v>
      </c>
      <c r="C400" s="371">
        <v>5000</v>
      </c>
      <c r="D400" s="636">
        <v>14.025399999999999</v>
      </c>
      <c r="E400" s="372">
        <v>18.2</v>
      </c>
      <c r="F400" s="372">
        <f t="shared" si="140"/>
        <v>20873</v>
      </c>
      <c r="G400" s="372">
        <f t="shared" si="141"/>
        <v>70127</v>
      </c>
      <c r="H400" s="373">
        <f t="shared" si="142"/>
        <v>0.29764569994438661</v>
      </c>
      <c r="I400" s="372">
        <v>13.8</v>
      </c>
    </row>
    <row r="401" spans="1:10" x14ac:dyDescent="0.25">
      <c r="B401" s="635">
        <v>42726</v>
      </c>
      <c r="C401" s="371">
        <v>5000</v>
      </c>
      <c r="D401" s="636">
        <v>14.025399999999999</v>
      </c>
      <c r="E401" s="372">
        <v>18.04</v>
      </c>
      <c r="F401" s="372">
        <f t="shared" si="140"/>
        <v>20073</v>
      </c>
      <c r="G401" s="372">
        <f t="shared" si="141"/>
        <v>70127</v>
      </c>
      <c r="H401" s="373">
        <f t="shared" si="142"/>
        <v>0.28623782565916123</v>
      </c>
      <c r="I401" s="372"/>
    </row>
    <row r="402" spans="1:10" x14ac:dyDescent="0.25">
      <c r="B402" s="635">
        <v>42733</v>
      </c>
      <c r="C402" s="371">
        <v>6000</v>
      </c>
      <c r="D402" s="636">
        <v>14.627558000000001</v>
      </c>
      <c r="E402" s="372">
        <v>17.57</v>
      </c>
      <c r="F402" s="454">
        <f t="shared" si="140"/>
        <v>17654.651999999998</v>
      </c>
      <c r="G402" s="372">
        <f t="shared" si="141"/>
        <v>87765.347999999998</v>
      </c>
      <c r="H402" s="374">
        <f t="shared" si="142"/>
        <v>0.20115743174629694</v>
      </c>
      <c r="I402" s="372"/>
      <c r="J402" s="3"/>
    </row>
    <row r="403" spans="1:10" x14ac:dyDescent="0.25">
      <c r="B403" s="635">
        <v>42734</v>
      </c>
      <c r="C403" s="371">
        <v>6000</v>
      </c>
      <c r="D403" s="636">
        <v>14.562623</v>
      </c>
      <c r="E403" s="372">
        <v>17.309999999999999</v>
      </c>
      <c r="F403" s="454">
        <f t="shared" si="140"/>
        <v>16484.261999999992</v>
      </c>
      <c r="G403" s="372">
        <f t="shared" si="141"/>
        <v>87375.737999999998</v>
      </c>
      <c r="H403" s="374">
        <f t="shared" si="142"/>
        <v>0.18865948806063293</v>
      </c>
      <c r="I403" s="372"/>
    </row>
    <row r="404" spans="1:10" x14ac:dyDescent="0.25">
      <c r="B404" s="635">
        <v>42739</v>
      </c>
      <c r="C404" s="371">
        <v>5500</v>
      </c>
      <c r="D404" s="636">
        <v>14.242898</v>
      </c>
      <c r="E404" s="372">
        <v>18.05</v>
      </c>
      <c r="F404" s="454">
        <f t="shared" si="140"/>
        <v>20939.061000000002</v>
      </c>
      <c r="G404" s="372">
        <f t="shared" si="141"/>
        <v>78335.938999999998</v>
      </c>
      <c r="H404" s="374">
        <f t="shared" si="142"/>
        <v>0.26729827033796072</v>
      </c>
      <c r="I404" s="372"/>
    </row>
    <row r="405" spans="1:10" x14ac:dyDescent="0.25">
      <c r="B405" s="635">
        <v>42741</v>
      </c>
      <c r="C405" s="371">
        <v>6000</v>
      </c>
      <c r="D405" s="636">
        <v>14.54599</v>
      </c>
      <c r="E405" s="372">
        <v>17.98</v>
      </c>
      <c r="F405" s="454">
        <f t="shared" si="140"/>
        <v>20604.060000000005</v>
      </c>
      <c r="G405" s="372">
        <f t="shared" si="141"/>
        <v>87275.94</v>
      </c>
      <c r="H405" s="374">
        <f t="shared" si="142"/>
        <v>0.23607949682352322</v>
      </c>
      <c r="I405" s="372"/>
    </row>
    <row r="406" spans="1:10" x14ac:dyDescent="0.25">
      <c r="B406" s="635">
        <v>42748</v>
      </c>
      <c r="C406" s="371">
        <v>6000</v>
      </c>
      <c r="D406" s="636">
        <v>14.527687999999999</v>
      </c>
      <c r="E406" s="372">
        <v>17.46</v>
      </c>
      <c r="F406" s="454">
        <f t="shared" si="140"/>
        <v>17593.872000000007</v>
      </c>
      <c r="G406" s="372">
        <f t="shared" si="141"/>
        <v>87166.127999999997</v>
      </c>
      <c r="H406" s="374">
        <f t="shared" si="142"/>
        <v>0.20184299112150547</v>
      </c>
      <c r="I406" s="372"/>
    </row>
    <row r="407" spans="1:10" x14ac:dyDescent="0.25">
      <c r="A407" s="230" t="s">
        <v>341</v>
      </c>
      <c r="B407" s="635">
        <v>42754</v>
      </c>
      <c r="C407" s="371">
        <v>6000</v>
      </c>
      <c r="D407" s="636">
        <v>14.527687999999999</v>
      </c>
      <c r="E407" s="372">
        <v>17.27</v>
      </c>
      <c r="F407" s="454">
        <f t="shared" si="140"/>
        <v>16453.871999999999</v>
      </c>
      <c r="G407" s="372">
        <f t="shared" si="141"/>
        <v>87166.127999999997</v>
      </c>
      <c r="H407" s="374">
        <f t="shared" si="142"/>
        <v>0.1887645164185795</v>
      </c>
      <c r="I407" s="372"/>
    </row>
    <row r="408" spans="1:10" x14ac:dyDescent="0.25">
      <c r="A408" t="s">
        <v>341</v>
      </c>
      <c r="B408" s="635">
        <v>42760</v>
      </c>
      <c r="C408" s="371">
        <v>6000</v>
      </c>
      <c r="D408" s="636">
        <v>14.527687999999999</v>
      </c>
      <c r="E408" s="372">
        <v>17.75</v>
      </c>
      <c r="F408" s="454">
        <f t="shared" ref="F408:F422" si="143">C408*(E408-D408)</f>
        <v>19333.872000000003</v>
      </c>
      <c r="G408" s="372">
        <f t="shared" ref="G408:G422" si="144">IF(C408=0, 0,D408*C408)</f>
        <v>87166.127999999997</v>
      </c>
      <c r="H408" s="374">
        <f t="shared" ref="H408:H422" si="145">IF(C408=0, D408, (E408-D408)/D408)</f>
        <v>0.22180487356281334</v>
      </c>
      <c r="I408" s="372"/>
    </row>
    <row r="409" spans="1:10" x14ac:dyDescent="0.25">
      <c r="A409" t="s">
        <v>374</v>
      </c>
      <c r="B409" s="635">
        <v>42761</v>
      </c>
      <c r="C409" s="371">
        <v>6000</v>
      </c>
      <c r="D409" s="636">
        <v>14.50817</v>
      </c>
      <c r="E409" s="372">
        <v>17.75</v>
      </c>
      <c r="F409" s="454">
        <f t="shared" si="143"/>
        <v>19450.98</v>
      </c>
      <c r="G409" s="372">
        <f t="shared" si="144"/>
        <v>87049.02</v>
      </c>
      <c r="H409" s="374">
        <f t="shared" si="145"/>
        <v>0.22344858104088938</v>
      </c>
      <c r="I409" s="372"/>
    </row>
    <row r="410" spans="1:10" ht="15" customHeight="1" x14ac:dyDescent="0.25">
      <c r="A410" t="s">
        <v>377</v>
      </c>
      <c r="B410" s="635">
        <v>42762</v>
      </c>
      <c r="C410" s="371">
        <v>6100</v>
      </c>
      <c r="D410" s="636">
        <v>14.553610000000001</v>
      </c>
      <c r="E410" s="372">
        <v>17.41</v>
      </c>
      <c r="F410" s="454">
        <f t="shared" si="143"/>
        <v>17423.978999999996</v>
      </c>
      <c r="G410" s="372">
        <f t="shared" si="144"/>
        <v>88777.021000000008</v>
      </c>
      <c r="H410" s="374">
        <f t="shared" si="145"/>
        <v>0.19626676817641803</v>
      </c>
      <c r="I410" s="372"/>
    </row>
    <row r="411" spans="1:10" x14ac:dyDescent="0.25">
      <c r="A411" t="s">
        <v>388</v>
      </c>
      <c r="B411" s="635">
        <v>42765</v>
      </c>
      <c r="C411" s="371">
        <v>6900</v>
      </c>
      <c r="D411" s="636">
        <v>14.793915999999999</v>
      </c>
      <c r="E411" s="372">
        <v>16.53</v>
      </c>
      <c r="F411" s="454">
        <f t="shared" si="143"/>
        <v>11978.979600000011</v>
      </c>
      <c r="G411" s="372">
        <f t="shared" si="144"/>
        <v>102078.02039999999</v>
      </c>
      <c r="H411" s="374">
        <f t="shared" si="145"/>
        <v>0.11735121383682331</v>
      </c>
      <c r="I411" s="372"/>
    </row>
    <row r="412" spans="1:10" x14ac:dyDescent="0.25">
      <c r="A412" t="s">
        <v>389</v>
      </c>
      <c r="B412" s="635">
        <v>42766</v>
      </c>
      <c r="C412" s="371">
        <v>6900</v>
      </c>
      <c r="D412" s="636">
        <v>14.783497000000001</v>
      </c>
      <c r="E412" s="372">
        <v>16.75</v>
      </c>
      <c r="F412" s="454">
        <f t="shared" si="143"/>
        <v>13568.870699999996</v>
      </c>
      <c r="G412" s="372">
        <f t="shared" si="144"/>
        <v>102006.1293</v>
      </c>
      <c r="H412" s="374">
        <f t="shared" si="145"/>
        <v>0.13302015078029233</v>
      </c>
      <c r="I412" s="372"/>
    </row>
    <row r="413" spans="1:10" x14ac:dyDescent="0.25">
      <c r="B413" s="635">
        <v>42767</v>
      </c>
      <c r="C413" s="371">
        <v>6000</v>
      </c>
      <c r="D413" s="636">
        <v>14.442175000000001</v>
      </c>
      <c r="E413" s="372">
        <v>16.59</v>
      </c>
      <c r="F413" s="454">
        <f t="shared" si="143"/>
        <v>12886.949999999995</v>
      </c>
      <c r="G413" s="372">
        <f t="shared" si="144"/>
        <v>86653.05</v>
      </c>
      <c r="H413" s="374">
        <f t="shared" si="145"/>
        <v>0.14871894295699914</v>
      </c>
      <c r="I413" s="372"/>
    </row>
    <row r="414" spans="1:10" x14ac:dyDescent="0.25">
      <c r="B414" s="635">
        <v>42767</v>
      </c>
      <c r="C414" s="371">
        <v>7000</v>
      </c>
      <c r="D414" s="636">
        <v>14.725436</v>
      </c>
      <c r="E414" s="372">
        <v>16.59</v>
      </c>
      <c r="F414" s="454">
        <f t="shared" si="143"/>
        <v>13051.947999999999</v>
      </c>
      <c r="G414" s="372">
        <f t="shared" si="144"/>
        <v>103078.052</v>
      </c>
      <c r="H414" s="374">
        <f t="shared" si="145"/>
        <v>0.1266219893251378</v>
      </c>
      <c r="I414" s="372"/>
    </row>
    <row r="415" spans="1:10" x14ac:dyDescent="0.25">
      <c r="B415" s="635">
        <v>42767</v>
      </c>
      <c r="C415" s="371">
        <v>7200</v>
      </c>
      <c r="D415" s="636">
        <v>14.771951</v>
      </c>
      <c r="E415" s="372">
        <v>16.59</v>
      </c>
      <c r="F415" s="454">
        <f t="shared" si="143"/>
        <v>13089.952800000001</v>
      </c>
      <c r="G415" s="372">
        <f t="shared" si="144"/>
        <v>106358.0472</v>
      </c>
      <c r="H415" s="374">
        <f t="shared" si="145"/>
        <v>0.12307439958337259</v>
      </c>
      <c r="I415" s="372"/>
    </row>
    <row r="416" spans="1:10" x14ac:dyDescent="0.25">
      <c r="A416" t="s">
        <v>393</v>
      </c>
      <c r="B416" s="635">
        <v>42767</v>
      </c>
      <c r="C416" s="371">
        <v>6500</v>
      </c>
      <c r="D416" s="636">
        <v>14.578353999999999</v>
      </c>
      <c r="E416" s="372">
        <v>16.59</v>
      </c>
      <c r="F416" s="454">
        <f t="shared" si="143"/>
        <v>13075.699000000004</v>
      </c>
      <c r="G416" s="372">
        <f t="shared" si="144"/>
        <v>94759.300999999992</v>
      </c>
      <c r="H416" s="374">
        <f t="shared" si="145"/>
        <v>0.13798855481215511</v>
      </c>
      <c r="I416" s="372"/>
    </row>
    <row r="417" spans="1:13" ht="15" customHeight="1" x14ac:dyDescent="0.25">
      <c r="A417" t="s">
        <v>395</v>
      </c>
      <c r="B417" s="635">
        <v>42768</v>
      </c>
      <c r="C417" s="371">
        <v>6000</v>
      </c>
      <c r="D417" s="636">
        <v>14.368788</v>
      </c>
      <c r="E417" s="372">
        <v>16.68</v>
      </c>
      <c r="F417" s="454">
        <f t="shared" si="143"/>
        <v>13867.271999999995</v>
      </c>
      <c r="G417" s="372">
        <f>IF(C417=0, 0,D417*C417)</f>
        <v>86212.728000000003</v>
      </c>
      <c r="H417" s="374">
        <f t="shared" si="145"/>
        <v>0.16084947456946261</v>
      </c>
      <c r="I417" s="372"/>
    </row>
    <row r="418" spans="1:13" x14ac:dyDescent="0.25">
      <c r="A418" t="s">
        <v>403</v>
      </c>
      <c r="B418" s="635">
        <v>42769</v>
      </c>
      <c r="C418" s="371">
        <v>5300</v>
      </c>
      <c r="D418" s="636">
        <v>14.006677</v>
      </c>
      <c r="E418" s="372">
        <v>17.23</v>
      </c>
      <c r="F418" s="454">
        <f t="shared" si="143"/>
        <v>17083.611900000004</v>
      </c>
      <c r="G418" s="372">
        <f t="shared" si="144"/>
        <v>74235.388099999996</v>
      </c>
      <c r="H418" s="374">
        <f t="shared" si="145"/>
        <v>0.2301276027140485</v>
      </c>
      <c r="I418" s="372"/>
    </row>
    <row r="419" spans="1:13" x14ac:dyDescent="0.25">
      <c r="A419" t="s">
        <v>413</v>
      </c>
      <c r="B419" s="635">
        <v>42772</v>
      </c>
      <c r="C419" s="371">
        <v>6000</v>
      </c>
      <c r="D419" s="636">
        <v>14.311230999999999</v>
      </c>
      <c r="E419" s="372">
        <v>16.52</v>
      </c>
      <c r="F419" s="454">
        <f t="shared" si="143"/>
        <v>13252.614000000001</v>
      </c>
      <c r="G419" s="372">
        <f t="shared" si="144"/>
        <v>85867.385999999999</v>
      </c>
      <c r="H419" s="374">
        <f t="shared" si="145"/>
        <v>0.15433815581622576</v>
      </c>
      <c r="I419" s="372"/>
    </row>
    <row r="420" spans="1:13" x14ac:dyDescent="0.25">
      <c r="A420" t="s">
        <v>418</v>
      </c>
      <c r="B420" s="635">
        <v>42773</v>
      </c>
      <c r="C420" s="371">
        <v>6600</v>
      </c>
      <c r="D420" s="636">
        <v>14.461574000000001</v>
      </c>
      <c r="E420" s="372">
        <v>16.03</v>
      </c>
      <c r="F420" s="454">
        <f t="shared" si="143"/>
        <v>10351.611600000004</v>
      </c>
      <c r="G420" s="372">
        <f t="shared" si="144"/>
        <v>95446.388400000011</v>
      </c>
      <c r="H420" s="374">
        <f t="shared" si="145"/>
        <v>0.10845472283998965</v>
      </c>
      <c r="I420" s="372"/>
    </row>
    <row r="421" spans="1:13" x14ac:dyDescent="0.25">
      <c r="A421" t="s">
        <v>441</v>
      </c>
      <c r="B421" s="635">
        <v>42781</v>
      </c>
      <c r="C421" s="371">
        <v>5700</v>
      </c>
      <c r="D421" s="636">
        <v>14.140828000000001</v>
      </c>
      <c r="E421" s="372">
        <v>16.3</v>
      </c>
      <c r="F421" s="454">
        <f t="shared" si="143"/>
        <v>12307.2804</v>
      </c>
      <c r="G421" s="372">
        <f t="shared" si="144"/>
        <v>80602.719600000011</v>
      </c>
      <c r="H421" s="374">
        <f t="shared" si="145"/>
        <v>0.1526906345229572</v>
      </c>
      <c r="I421" s="372"/>
    </row>
    <row r="422" spans="1:13" x14ac:dyDescent="0.25">
      <c r="A422" t="s">
        <v>443</v>
      </c>
      <c r="B422" s="635">
        <v>42782</v>
      </c>
      <c r="C422" s="371">
        <v>5700</v>
      </c>
      <c r="D422" s="636">
        <v>14.103</v>
      </c>
      <c r="E422" s="372">
        <v>16.170000000000002</v>
      </c>
      <c r="F422" s="454">
        <f t="shared" si="143"/>
        <v>11781.900000000011</v>
      </c>
      <c r="G422" s="372">
        <f t="shared" si="144"/>
        <v>80387.100000000006</v>
      </c>
      <c r="H422" s="374">
        <f t="shared" si="145"/>
        <v>0.14656456073175933</v>
      </c>
      <c r="I422" s="372"/>
    </row>
    <row r="423" spans="1:13" ht="15" customHeight="1" x14ac:dyDescent="0.25">
      <c r="B423" s="635"/>
      <c r="C423" s="371"/>
      <c r="D423" s="636"/>
      <c r="E423" s="372"/>
      <c r="F423" s="454"/>
      <c r="G423" s="372"/>
      <c r="H423" s="374"/>
      <c r="I423" s="372"/>
    </row>
    <row r="424" spans="1:13" x14ac:dyDescent="0.25">
      <c r="B424" s="635"/>
      <c r="C424" s="371"/>
      <c r="D424" s="636"/>
      <c r="E424" s="372"/>
      <c r="F424" s="454"/>
      <c r="G424" s="372"/>
      <c r="H424" s="374"/>
      <c r="I424" s="372"/>
    </row>
    <row r="425" spans="1:13" x14ac:dyDescent="0.25">
      <c r="B425" s="635"/>
      <c r="C425" s="371"/>
      <c r="D425" s="636"/>
      <c r="E425" s="372"/>
      <c r="F425" s="454"/>
      <c r="G425" s="372"/>
      <c r="H425" s="374"/>
      <c r="I425" s="372"/>
    </row>
    <row r="426" spans="1:13" x14ac:dyDescent="0.25">
      <c r="B426" s="635"/>
      <c r="C426" s="371"/>
      <c r="D426" s="636"/>
      <c r="E426" s="372"/>
      <c r="F426" s="454"/>
      <c r="G426" s="372"/>
      <c r="H426" s="374"/>
      <c r="I426" s="372"/>
    </row>
    <row r="430" spans="1:13" x14ac:dyDescent="0.25">
      <c r="L430" t="s">
        <v>65</v>
      </c>
      <c r="M430" s="231">
        <f>K693+M693-F693</f>
        <v>14615.571000001626</v>
      </c>
    </row>
    <row r="431" spans="1:13" x14ac:dyDescent="0.25">
      <c r="A431" s="525" t="s">
        <v>1</v>
      </c>
      <c r="B431" s="602" t="s">
        <v>2</v>
      </c>
      <c r="C431" s="525" t="s">
        <v>4</v>
      </c>
      <c r="D431" s="603" t="s">
        <v>5</v>
      </c>
      <c r="E431" s="526" t="s">
        <v>90</v>
      </c>
      <c r="F431" s="526" t="s">
        <v>60</v>
      </c>
      <c r="G431" s="525" t="s">
        <v>3</v>
      </c>
      <c r="H431" s="604" t="s">
        <v>6</v>
      </c>
      <c r="I431" s="603" t="s">
        <v>7</v>
      </c>
      <c r="J431" s="526" t="s">
        <v>89</v>
      </c>
      <c r="K431" s="526" t="s">
        <v>61</v>
      </c>
      <c r="L431" s="525" t="s">
        <v>37</v>
      </c>
      <c r="M431" s="526" t="s">
        <v>38</v>
      </c>
    </row>
    <row r="432" spans="1:13" x14ac:dyDescent="0.25">
      <c r="A432" s="527" t="s">
        <v>50</v>
      </c>
      <c r="B432" s="560">
        <v>42187</v>
      </c>
      <c r="C432" s="511">
        <v>1000</v>
      </c>
      <c r="D432" s="512">
        <v>27.25</v>
      </c>
      <c r="E432" s="513">
        <v>0</v>
      </c>
      <c r="F432" s="513">
        <f>C432*D432+E432</f>
        <v>27250</v>
      </c>
      <c r="G432" s="510">
        <v>42187</v>
      </c>
      <c r="H432" s="528">
        <v>2000</v>
      </c>
      <c r="I432" s="512">
        <v>27.34</v>
      </c>
      <c r="J432" s="513">
        <v>-5.49</v>
      </c>
      <c r="K432" s="513">
        <f>H432*I432-J432</f>
        <v>54685.49</v>
      </c>
      <c r="L432" s="510">
        <v>42257</v>
      </c>
      <c r="M432" s="513">
        <v>850.5</v>
      </c>
    </row>
    <row r="433" spans="1:13" x14ac:dyDescent="0.25">
      <c r="A433" s="529" t="s">
        <v>71</v>
      </c>
      <c r="B433" s="560">
        <v>42187</v>
      </c>
      <c r="C433" s="511">
        <v>80</v>
      </c>
      <c r="D433" s="512">
        <v>27.152249999999999</v>
      </c>
      <c r="E433" s="513">
        <v>0</v>
      </c>
      <c r="F433" s="513">
        <f t="shared" ref="F433:F496" si="146">C433*D433+E433</f>
        <v>2172.1799999999998</v>
      </c>
      <c r="G433" s="510">
        <v>42199</v>
      </c>
      <c r="H433" s="528">
        <v>102</v>
      </c>
      <c r="I433" s="512">
        <v>25.28</v>
      </c>
      <c r="J433" s="513">
        <v>0.05</v>
      </c>
      <c r="K433" s="513">
        <f t="shared" ref="K433:K460" si="147">H433*I433-J433</f>
        <v>2578.5099999999998</v>
      </c>
      <c r="L433" s="510">
        <v>42439</v>
      </c>
      <c r="M433" s="513">
        <v>483.9</v>
      </c>
    </row>
    <row r="434" spans="1:13" x14ac:dyDescent="0.25">
      <c r="A434" s="511"/>
      <c r="B434" s="560">
        <v>42187</v>
      </c>
      <c r="C434" s="511">
        <v>1000</v>
      </c>
      <c r="D434" s="512">
        <v>27.1</v>
      </c>
      <c r="E434" s="513">
        <v>0</v>
      </c>
      <c r="F434" s="513">
        <f t="shared" si="146"/>
        <v>27100</v>
      </c>
      <c r="G434" s="510">
        <v>42227</v>
      </c>
      <c r="H434" s="528">
        <v>200</v>
      </c>
      <c r="I434" s="512">
        <v>19.649999999999999</v>
      </c>
      <c r="J434" s="513">
        <v>7.0000000000000007E-2</v>
      </c>
      <c r="K434" s="513">
        <f t="shared" si="147"/>
        <v>3929.9299999999994</v>
      </c>
      <c r="L434" s="510">
        <v>42531</v>
      </c>
      <c r="M434" s="513">
        <v>483.9</v>
      </c>
    </row>
    <row r="435" spans="1:13" x14ac:dyDescent="0.25">
      <c r="A435" s="511"/>
      <c r="B435" s="623">
        <v>42187</v>
      </c>
      <c r="C435" s="511">
        <v>500</v>
      </c>
      <c r="D435" s="512">
        <v>27.039332999999999</v>
      </c>
      <c r="E435" s="513">
        <v>0</v>
      </c>
      <c r="F435" s="513">
        <f t="shared" si="146"/>
        <v>13519.666499999999</v>
      </c>
      <c r="G435" s="510">
        <v>42227</v>
      </c>
      <c r="H435" s="528">
        <v>200</v>
      </c>
      <c r="I435" s="512">
        <v>18.7</v>
      </c>
      <c r="J435" s="513">
        <v>7.0000000000000007E-2</v>
      </c>
      <c r="K435" s="513">
        <f t="shared" si="147"/>
        <v>3739.93</v>
      </c>
      <c r="L435" s="510">
        <v>42625</v>
      </c>
      <c r="M435" s="513">
        <v>433.9</v>
      </c>
    </row>
    <row r="436" spans="1:13" x14ac:dyDescent="0.25">
      <c r="A436" s="511"/>
      <c r="B436" s="623"/>
      <c r="C436" s="511">
        <v>500</v>
      </c>
      <c r="D436" s="512">
        <v>27.039332999999999</v>
      </c>
      <c r="E436" s="513">
        <v>0</v>
      </c>
      <c r="F436" s="513">
        <f t="shared" si="146"/>
        <v>13519.666499999999</v>
      </c>
      <c r="G436" s="510">
        <v>42257</v>
      </c>
      <c r="H436" s="528">
        <v>1600</v>
      </c>
      <c r="I436" s="512">
        <v>16.445</v>
      </c>
      <c r="J436" s="513">
        <v>0.48</v>
      </c>
      <c r="K436" s="513">
        <f t="shared" si="147"/>
        <v>26311.52</v>
      </c>
      <c r="L436" s="510">
        <v>42716</v>
      </c>
      <c r="M436" s="513">
        <v>500</v>
      </c>
    </row>
    <row r="437" spans="1:13" x14ac:dyDescent="0.25">
      <c r="A437" s="511"/>
      <c r="B437" s="623"/>
      <c r="C437" s="511">
        <v>500</v>
      </c>
      <c r="D437" s="512">
        <v>27.039332999999999</v>
      </c>
      <c r="E437" s="513">
        <v>0</v>
      </c>
      <c r="F437" s="513">
        <f t="shared" si="146"/>
        <v>13519.666499999999</v>
      </c>
      <c r="G437" s="624">
        <v>42265</v>
      </c>
      <c r="H437" s="528">
        <v>200</v>
      </c>
      <c r="I437" s="512">
        <v>15.65</v>
      </c>
      <c r="J437" s="513">
        <v>0.05</v>
      </c>
      <c r="K437" s="513">
        <f t="shared" si="147"/>
        <v>3129.95</v>
      </c>
      <c r="L437" s="511"/>
      <c r="M437" s="513"/>
    </row>
    <row r="438" spans="1:13" x14ac:dyDescent="0.25">
      <c r="A438" s="511"/>
      <c r="B438" s="623"/>
      <c r="C438" s="511">
        <v>500</v>
      </c>
      <c r="D438" s="512">
        <v>27.039332999999999</v>
      </c>
      <c r="E438" s="513">
        <v>0</v>
      </c>
      <c r="F438" s="513">
        <f t="shared" si="146"/>
        <v>13519.666499999999</v>
      </c>
      <c r="G438" s="624"/>
      <c r="H438" s="528">
        <v>2400</v>
      </c>
      <c r="I438" s="512">
        <v>15.7</v>
      </c>
      <c r="J438" s="513">
        <v>0.7</v>
      </c>
      <c r="K438" s="513">
        <f t="shared" si="147"/>
        <v>37679.300000000003</v>
      </c>
      <c r="L438" s="511"/>
      <c r="M438" s="513"/>
    </row>
    <row r="439" spans="1:13" x14ac:dyDescent="0.25">
      <c r="A439" s="511"/>
      <c r="B439" s="623"/>
      <c r="C439" s="511">
        <v>1000</v>
      </c>
      <c r="D439" s="512">
        <v>27.039332999999999</v>
      </c>
      <c r="E439" s="513">
        <v>0</v>
      </c>
      <c r="F439" s="513">
        <f t="shared" si="146"/>
        <v>27039.332999999999</v>
      </c>
      <c r="G439" s="510">
        <v>42271</v>
      </c>
      <c r="H439" s="605">
        <v>918</v>
      </c>
      <c r="I439" s="606">
        <v>16.45</v>
      </c>
      <c r="J439" s="607">
        <v>0.28000000000000003</v>
      </c>
      <c r="K439" s="607">
        <f t="shared" si="147"/>
        <v>15100.819999999998</v>
      </c>
      <c r="L439" s="511"/>
      <c r="M439" s="513"/>
    </row>
    <row r="440" spans="1:13" ht="60" x14ac:dyDescent="0.25">
      <c r="A440" s="511"/>
      <c r="B440" s="560">
        <v>42198</v>
      </c>
      <c r="C440" s="511">
        <v>100</v>
      </c>
      <c r="D440" s="512">
        <v>24.77</v>
      </c>
      <c r="E440" s="513">
        <v>0</v>
      </c>
      <c r="F440" s="513">
        <f t="shared" si="146"/>
        <v>2477</v>
      </c>
      <c r="G440" s="625" t="s">
        <v>139</v>
      </c>
      <c r="H440" s="528">
        <v>500</v>
      </c>
      <c r="I440" s="512">
        <v>15.95</v>
      </c>
      <c r="J440" s="513">
        <v>0.15</v>
      </c>
      <c r="K440" s="607">
        <f t="shared" si="147"/>
        <v>7974.85</v>
      </c>
      <c r="L440" s="511"/>
      <c r="M440" s="513"/>
    </row>
    <row r="441" spans="1:13" x14ac:dyDescent="0.25">
      <c r="A441" s="511"/>
      <c r="B441" s="560">
        <v>42205</v>
      </c>
      <c r="C441" s="511">
        <v>50</v>
      </c>
      <c r="D441" s="512">
        <v>24.35</v>
      </c>
      <c r="E441" s="513">
        <v>0</v>
      </c>
      <c r="F441" s="513">
        <f t="shared" si="146"/>
        <v>1217.5</v>
      </c>
      <c r="G441" s="625"/>
      <c r="H441" s="528">
        <v>500</v>
      </c>
      <c r="I441" s="512">
        <v>16.100000000000001</v>
      </c>
      <c r="J441" s="513">
        <v>0.15</v>
      </c>
      <c r="K441" s="607">
        <f t="shared" si="147"/>
        <v>8049.8500000000013</v>
      </c>
      <c r="L441" s="511"/>
      <c r="M441" s="513"/>
    </row>
    <row r="442" spans="1:13" x14ac:dyDescent="0.25">
      <c r="A442" s="511"/>
      <c r="B442" s="560">
        <v>42207</v>
      </c>
      <c r="C442" s="511">
        <v>20</v>
      </c>
      <c r="D442" s="512">
        <v>24.02</v>
      </c>
      <c r="E442" s="513">
        <v>0</v>
      </c>
      <c r="F442" s="513">
        <f t="shared" si="146"/>
        <v>480.4</v>
      </c>
      <c r="G442" s="625"/>
      <c r="H442" s="528">
        <v>500</v>
      </c>
      <c r="I442" s="512">
        <v>16.170000000000002</v>
      </c>
      <c r="J442" s="513">
        <v>0.15</v>
      </c>
      <c r="K442" s="607">
        <f t="shared" si="147"/>
        <v>8084.8500000000013</v>
      </c>
      <c r="L442" s="511"/>
      <c r="M442" s="513"/>
    </row>
    <row r="443" spans="1:13" x14ac:dyDescent="0.25">
      <c r="A443" s="511"/>
      <c r="B443" s="560">
        <v>42207</v>
      </c>
      <c r="C443" s="511">
        <v>20</v>
      </c>
      <c r="D443" s="512">
        <v>23.91</v>
      </c>
      <c r="E443" s="513">
        <v>0</v>
      </c>
      <c r="F443" s="513">
        <f t="shared" si="146"/>
        <v>478.2</v>
      </c>
      <c r="G443" s="625"/>
      <c r="H443" s="528">
        <v>500</v>
      </c>
      <c r="I443" s="512">
        <v>16.28</v>
      </c>
      <c r="J443" s="513">
        <v>0.15</v>
      </c>
      <c r="K443" s="607">
        <f t="shared" si="147"/>
        <v>8139.8500000000013</v>
      </c>
      <c r="L443" s="513"/>
      <c r="M443" s="513"/>
    </row>
    <row r="444" spans="1:13" ht="15" customHeight="1" x14ac:dyDescent="0.25">
      <c r="A444" s="511"/>
      <c r="B444" s="560">
        <v>42207</v>
      </c>
      <c r="C444" s="511">
        <v>20</v>
      </c>
      <c r="D444" s="512">
        <v>23.7</v>
      </c>
      <c r="E444" s="513">
        <v>0</v>
      </c>
      <c r="F444" s="513">
        <f t="shared" si="146"/>
        <v>474</v>
      </c>
      <c r="G444" s="625"/>
      <c r="H444" s="528">
        <v>500</v>
      </c>
      <c r="I444" s="512">
        <v>16.39</v>
      </c>
      <c r="J444" s="513">
        <v>0.15</v>
      </c>
      <c r="K444" s="607">
        <f t="shared" si="147"/>
        <v>8194.85</v>
      </c>
      <c r="L444" s="511"/>
      <c r="M444" s="513"/>
    </row>
    <row r="445" spans="1:13" x14ac:dyDescent="0.25">
      <c r="A445" s="511"/>
      <c r="B445" s="560">
        <v>42207</v>
      </c>
      <c r="C445" s="511">
        <v>20</v>
      </c>
      <c r="D445" s="512">
        <v>23.6</v>
      </c>
      <c r="E445" s="513">
        <v>0</v>
      </c>
      <c r="F445" s="513">
        <f t="shared" si="146"/>
        <v>472</v>
      </c>
      <c r="G445" s="625"/>
      <c r="H445" s="528">
        <v>500</v>
      </c>
      <c r="I445" s="512">
        <v>16.55</v>
      </c>
      <c r="J445" s="513">
        <v>0.17</v>
      </c>
      <c r="K445" s="607">
        <f t="shared" si="147"/>
        <v>8274.83</v>
      </c>
      <c r="L445" s="511"/>
      <c r="M445" s="513"/>
    </row>
    <row r="446" spans="1:13" x14ac:dyDescent="0.25">
      <c r="A446" s="511"/>
      <c r="B446" s="560">
        <v>42209</v>
      </c>
      <c r="C446" s="511">
        <v>40</v>
      </c>
      <c r="D446" s="512">
        <v>22.3</v>
      </c>
      <c r="E446" s="513">
        <v>0</v>
      </c>
      <c r="F446" s="513">
        <f t="shared" si="146"/>
        <v>892</v>
      </c>
      <c r="G446" s="625"/>
      <c r="H446" s="528">
        <v>50</v>
      </c>
      <c r="I446" s="512">
        <v>16.55</v>
      </c>
      <c r="J446" s="513">
        <v>0</v>
      </c>
      <c r="K446" s="607">
        <f t="shared" si="147"/>
        <v>827.5</v>
      </c>
      <c r="L446" s="511"/>
      <c r="M446" s="513"/>
    </row>
    <row r="447" spans="1:13" x14ac:dyDescent="0.25">
      <c r="A447" s="513"/>
      <c r="B447" s="560">
        <v>42221</v>
      </c>
      <c r="C447" s="511">
        <v>12</v>
      </c>
      <c r="D447" s="512">
        <v>20.95</v>
      </c>
      <c r="E447" s="513">
        <v>0</v>
      </c>
      <c r="F447" s="513">
        <f t="shared" si="146"/>
        <v>251.39999999999998</v>
      </c>
      <c r="G447" s="625"/>
      <c r="H447" s="528">
        <v>28</v>
      </c>
      <c r="I447" s="512">
        <v>16.68</v>
      </c>
      <c r="J447" s="513">
        <v>0.01</v>
      </c>
      <c r="K447" s="607">
        <f t="shared" si="147"/>
        <v>467.03</v>
      </c>
      <c r="L447" s="528"/>
      <c r="M447" s="513"/>
    </row>
    <row r="448" spans="1:13" x14ac:dyDescent="0.25">
      <c r="A448" s="511"/>
      <c r="B448" s="560">
        <v>42223</v>
      </c>
      <c r="C448" s="511">
        <v>100</v>
      </c>
      <c r="D448" s="512">
        <v>20.399999999999999</v>
      </c>
      <c r="E448" s="513">
        <v>0</v>
      </c>
      <c r="F448" s="513">
        <f t="shared" si="146"/>
        <v>2039.9999999999998</v>
      </c>
      <c r="G448" s="510">
        <v>42285</v>
      </c>
      <c r="H448" s="528">
        <v>632</v>
      </c>
      <c r="I448" s="512">
        <v>17.850000000000001</v>
      </c>
      <c r="J448" s="513">
        <v>0.21</v>
      </c>
      <c r="K448" s="607">
        <f t="shared" si="147"/>
        <v>11280.990000000002</v>
      </c>
      <c r="L448" s="513"/>
      <c r="M448" s="513"/>
    </row>
    <row r="449" spans="1:13" x14ac:dyDescent="0.25">
      <c r="A449" s="513"/>
      <c r="B449" s="560">
        <v>42226</v>
      </c>
      <c r="C449" s="511">
        <v>200</v>
      </c>
      <c r="D449" s="512">
        <v>19.95</v>
      </c>
      <c r="E449" s="513">
        <v>0</v>
      </c>
      <c r="F449" s="513">
        <f t="shared" si="146"/>
        <v>3990</v>
      </c>
      <c r="G449" s="510">
        <v>42297</v>
      </c>
      <c r="H449" s="528">
        <v>500</v>
      </c>
      <c r="I449" s="512">
        <v>19.149999999999999</v>
      </c>
      <c r="J449" s="513">
        <v>0.18</v>
      </c>
      <c r="K449" s="607">
        <f t="shared" si="147"/>
        <v>9574.82</v>
      </c>
      <c r="L449" s="511"/>
      <c r="M449" s="513"/>
    </row>
    <row r="450" spans="1:13" x14ac:dyDescent="0.25">
      <c r="A450" s="511"/>
      <c r="B450" s="560">
        <v>42226</v>
      </c>
      <c r="C450" s="511">
        <v>50</v>
      </c>
      <c r="D450" s="512">
        <v>20.010000000000002</v>
      </c>
      <c r="E450" s="513">
        <v>0</v>
      </c>
      <c r="F450" s="513">
        <f t="shared" si="146"/>
        <v>1000.5000000000001</v>
      </c>
      <c r="G450" s="510">
        <v>42300</v>
      </c>
      <c r="H450" s="528">
        <v>1000</v>
      </c>
      <c r="I450" s="512">
        <v>18.62</v>
      </c>
      <c r="J450" s="513">
        <v>0.34</v>
      </c>
      <c r="K450" s="607">
        <f t="shared" si="147"/>
        <v>18619.66</v>
      </c>
      <c r="L450" s="511"/>
      <c r="M450" s="513"/>
    </row>
    <row r="451" spans="1:13" x14ac:dyDescent="0.25">
      <c r="A451" s="511"/>
      <c r="B451" s="560">
        <v>42226</v>
      </c>
      <c r="C451" s="511">
        <v>100</v>
      </c>
      <c r="D451" s="512">
        <v>20.2</v>
      </c>
      <c r="E451" s="513">
        <v>0</v>
      </c>
      <c r="F451" s="513">
        <f t="shared" si="146"/>
        <v>2020</v>
      </c>
      <c r="G451" s="510">
        <v>42312</v>
      </c>
      <c r="H451" s="528">
        <v>2500</v>
      </c>
      <c r="I451" s="512">
        <v>18.48</v>
      </c>
      <c r="J451" s="513">
        <v>7.8</v>
      </c>
      <c r="K451" s="513">
        <f t="shared" si="147"/>
        <v>46192.2</v>
      </c>
      <c r="L451" s="511"/>
      <c r="M451" s="513"/>
    </row>
    <row r="452" spans="1:13" x14ac:dyDescent="0.25">
      <c r="A452" s="511"/>
      <c r="B452" s="560">
        <v>42227</v>
      </c>
      <c r="C452" s="511">
        <v>200</v>
      </c>
      <c r="D452" s="512">
        <v>18.399999999999999</v>
      </c>
      <c r="E452" s="513">
        <v>0</v>
      </c>
      <c r="F452" s="513">
        <f t="shared" si="146"/>
        <v>3679.9999999999995</v>
      </c>
      <c r="G452" s="510">
        <v>42313</v>
      </c>
      <c r="H452" s="528">
        <v>3000</v>
      </c>
      <c r="I452" s="512">
        <v>19.059999999999999</v>
      </c>
      <c r="J452" s="513">
        <v>1.05</v>
      </c>
      <c r="K452" s="513">
        <f t="shared" si="147"/>
        <v>57178.94999999999</v>
      </c>
      <c r="L452" s="511"/>
      <c r="M452" s="513"/>
    </row>
    <row r="453" spans="1:13" x14ac:dyDescent="0.25">
      <c r="A453" s="511"/>
      <c r="B453" s="560">
        <v>42227</v>
      </c>
      <c r="C453" s="511">
        <v>200</v>
      </c>
      <c r="D453" s="512">
        <v>19.55</v>
      </c>
      <c r="E453" s="513">
        <v>0</v>
      </c>
      <c r="F453" s="513">
        <f t="shared" si="146"/>
        <v>3910</v>
      </c>
      <c r="G453" s="510">
        <v>42324</v>
      </c>
      <c r="H453" s="528">
        <v>2500</v>
      </c>
      <c r="I453" s="512">
        <v>18.8</v>
      </c>
      <c r="J453" s="513">
        <v>0.86</v>
      </c>
      <c r="K453" s="513">
        <f t="shared" si="147"/>
        <v>46999.14</v>
      </c>
      <c r="L453" s="513"/>
      <c r="M453" s="513"/>
    </row>
    <row r="454" spans="1:13" x14ac:dyDescent="0.25">
      <c r="A454" s="511"/>
      <c r="B454" s="560">
        <v>42234</v>
      </c>
      <c r="C454" s="511">
        <v>40</v>
      </c>
      <c r="D454" s="512">
        <v>18.149999999999999</v>
      </c>
      <c r="E454" s="513">
        <v>0</v>
      </c>
      <c r="F454" s="513">
        <f t="shared" si="146"/>
        <v>726</v>
      </c>
      <c r="G454" s="510">
        <v>42335</v>
      </c>
      <c r="H454" s="528">
        <v>3078</v>
      </c>
      <c r="I454" s="512">
        <v>17.649999999999999</v>
      </c>
      <c r="J454" s="513">
        <v>1</v>
      </c>
      <c r="K454" s="513">
        <f t="shared" si="147"/>
        <v>54325.7</v>
      </c>
      <c r="L454" s="511"/>
      <c r="M454" s="513"/>
    </row>
    <row r="455" spans="1:13" x14ac:dyDescent="0.25">
      <c r="A455" s="511"/>
      <c r="B455" s="560">
        <v>42234</v>
      </c>
      <c r="C455" s="511">
        <v>100</v>
      </c>
      <c r="D455" s="512">
        <v>18</v>
      </c>
      <c r="E455" s="513">
        <v>0</v>
      </c>
      <c r="F455" s="513">
        <f t="shared" si="146"/>
        <v>1800</v>
      </c>
      <c r="G455" s="510">
        <v>42347</v>
      </c>
      <c r="H455" s="528">
        <v>500</v>
      </c>
      <c r="I455" s="512">
        <v>16.149999999999999</v>
      </c>
      <c r="J455" s="513">
        <v>0.15</v>
      </c>
      <c r="K455" s="513">
        <f t="shared" si="147"/>
        <v>8074.8499999999995</v>
      </c>
      <c r="L455" s="511"/>
      <c r="M455" s="513"/>
    </row>
    <row r="456" spans="1:13" x14ac:dyDescent="0.25">
      <c r="A456" s="511"/>
      <c r="B456" s="560">
        <v>42235</v>
      </c>
      <c r="C456" s="511">
        <v>100</v>
      </c>
      <c r="D456" s="512">
        <v>17.78</v>
      </c>
      <c r="E456" s="513">
        <v>0</v>
      </c>
      <c r="F456" s="513">
        <f t="shared" si="146"/>
        <v>1778</v>
      </c>
      <c r="G456" s="510">
        <v>42353</v>
      </c>
      <c r="H456" s="528">
        <v>600</v>
      </c>
      <c r="I456" s="512">
        <v>14.95</v>
      </c>
      <c r="J456" s="513">
        <v>0.17</v>
      </c>
      <c r="K456" s="513">
        <f t="shared" si="147"/>
        <v>8969.83</v>
      </c>
      <c r="L456" s="511"/>
      <c r="M456" s="513"/>
    </row>
    <row r="457" spans="1:13" x14ac:dyDescent="0.25">
      <c r="A457" s="511"/>
      <c r="B457" s="560">
        <v>42235</v>
      </c>
      <c r="C457" s="511">
        <v>100</v>
      </c>
      <c r="D457" s="512">
        <v>17.68</v>
      </c>
      <c r="E457" s="513">
        <v>0</v>
      </c>
      <c r="F457" s="513">
        <f t="shared" si="146"/>
        <v>1768</v>
      </c>
      <c r="G457" s="510">
        <v>42354</v>
      </c>
      <c r="H457" s="528">
        <v>500</v>
      </c>
      <c r="I457" s="512">
        <v>14.32</v>
      </c>
      <c r="J457" s="513">
        <v>0.13</v>
      </c>
      <c r="K457" s="513">
        <f t="shared" si="147"/>
        <v>7159.87</v>
      </c>
      <c r="L457" s="511"/>
      <c r="M457" s="513"/>
    </row>
    <row r="458" spans="1:13" x14ac:dyDescent="0.25">
      <c r="A458" s="511"/>
      <c r="B458" s="560">
        <v>42240</v>
      </c>
      <c r="C458" s="511">
        <v>100</v>
      </c>
      <c r="D458" s="512">
        <v>16.649999999999999</v>
      </c>
      <c r="E458" s="513">
        <v>0</v>
      </c>
      <c r="F458" s="513">
        <f t="shared" si="146"/>
        <v>1664.9999999999998</v>
      </c>
      <c r="G458" s="510">
        <v>42361</v>
      </c>
      <c r="H458" s="528">
        <v>500</v>
      </c>
      <c r="I458" s="512">
        <v>12.83</v>
      </c>
      <c r="J458" s="513">
        <v>0.12</v>
      </c>
      <c r="K458" s="513">
        <f t="shared" si="147"/>
        <v>6414.88</v>
      </c>
      <c r="L458" s="511"/>
      <c r="M458" s="513"/>
    </row>
    <row r="459" spans="1:13" x14ac:dyDescent="0.25">
      <c r="A459" s="511"/>
      <c r="B459" s="560">
        <v>42240</v>
      </c>
      <c r="C459" s="511">
        <v>100</v>
      </c>
      <c r="D459" s="512">
        <v>16.100000000000001</v>
      </c>
      <c r="E459" s="513">
        <v>0</v>
      </c>
      <c r="F459" s="513">
        <f t="shared" si="146"/>
        <v>1610.0000000000002</v>
      </c>
      <c r="G459" s="510">
        <v>42362</v>
      </c>
      <c r="H459" s="528">
        <v>1222</v>
      </c>
      <c r="I459" s="512">
        <v>12.75</v>
      </c>
      <c r="J459" s="513">
        <v>0.28999999999999998</v>
      </c>
      <c r="K459" s="513">
        <f t="shared" si="147"/>
        <v>15580.21</v>
      </c>
      <c r="L459" s="511"/>
      <c r="M459" s="513"/>
    </row>
    <row r="460" spans="1:13" x14ac:dyDescent="0.25">
      <c r="A460" s="511"/>
      <c r="B460" s="560">
        <v>42257</v>
      </c>
      <c r="C460" s="511">
        <v>1500</v>
      </c>
      <c r="D460" s="512">
        <v>16.350000000000001</v>
      </c>
      <c r="E460" s="513">
        <v>0</v>
      </c>
      <c r="F460" s="513">
        <f t="shared" si="146"/>
        <v>24525.000000000004</v>
      </c>
      <c r="G460" s="510">
        <v>42367</v>
      </c>
      <c r="H460" s="528">
        <v>1000</v>
      </c>
      <c r="I460" s="512">
        <v>13.15</v>
      </c>
      <c r="J460" s="513">
        <v>0.24</v>
      </c>
      <c r="K460" s="513">
        <f t="shared" si="147"/>
        <v>13149.76</v>
      </c>
      <c r="L460" s="511"/>
      <c r="M460" s="513"/>
    </row>
    <row r="461" spans="1:13" x14ac:dyDescent="0.25">
      <c r="A461" s="511"/>
      <c r="B461" s="560">
        <v>42258</v>
      </c>
      <c r="C461" s="511">
        <v>100</v>
      </c>
      <c r="D461" s="512">
        <v>16.100000000000001</v>
      </c>
      <c r="E461" s="513">
        <v>0</v>
      </c>
      <c r="F461" s="513">
        <f t="shared" si="146"/>
        <v>1610.0000000000002</v>
      </c>
      <c r="G461" s="510">
        <v>42367</v>
      </c>
      <c r="H461" s="528">
        <v>2178</v>
      </c>
      <c r="I461" s="512">
        <v>13.75</v>
      </c>
      <c r="J461" s="513">
        <v>0.55000000000000004</v>
      </c>
      <c r="K461" s="513">
        <f>H461*I461-J461</f>
        <v>29946.95</v>
      </c>
      <c r="L461" s="511"/>
      <c r="M461" s="513"/>
    </row>
    <row r="462" spans="1:13" x14ac:dyDescent="0.25">
      <c r="A462" s="511"/>
      <c r="B462" s="560">
        <v>42261</v>
      </c>
      <c r="C462" s="511">
        <v>1000</v>
      </c>
      <c r="D462" s="512">
        <v>15.416</v>
      </c>
      <c r="E462" s="513">
        <v>0</v>
      </c>
      <c r="F462" s="513">
        <f t="shared" si="146"/>
        <v>15416</v>
      </c>
      <c r="G462" s="510">
        <v>42010</v>
      </c>
      <c r="H462" s="528">
        <v>1000</v>
      </c>
      <c r="I462" s="512">
        <v>12.63</v>
      </c>
      <c r="J462" s="513">
        <v>0.23</v>
      </c>
      <c r="K462" s="513">
        <f>H462*I462-J462</f>
        <v>12629.77</v>
      </c>
      <c r="L462" s="511"/>
      <c r="M462" s="513"/>
    </row>
    <row r="463" spans="1:13" x14ac:dyDescent="0.25">
      <c r="A463" s="511"/>
      <c r="B463" s="560">
        <v>42261</v>
      </c>
      <c r="C463" s="511">
        <v>1000</v>
      </c>
      <c r="D463" s="512">
        <v>15.1</v>
      </c>
      <c r="E463" s="513">
        <v>0</v>
      </c>
      <c r="F463" s="513">
        <f t="shared" si="146"/>
        <v>15100</v>
      </c>
      <c r="G463" s="608">
        <v>42374</v>
      </c>
      <c r="H463" s="528">
        <v>2000</v>
      </c>
      <c r="I463" s="512">
        <v>12.81</v>
      </c>
      <c r="J463" s="513">
        <v>0.47</v>
      </c>
      <c r="K463" s="513">
        <f t="shared" ref="K463:K475" si="148">H463*I463-J463</f>
        <v>25619.53</v>
      </c>
      <c r="L463" s="511"/>
      <c r="M463" s="513"/>
    </row>
    <row r="464" spans="1:13" ht="15" customHeight="1" x14ac:dyDescent="0.25">
      <c r="A464" s="511"/>
      <c r="B464" s="560">
        <v>42261</v>
      </c>
      <c r="C464" s="511">
        <v>200</v>
      </c>
      <c r="D464" s="512">
        <v>14.87</v>
      </c>
      <c r="E464" s="513">
        <v>0</v>
      </c>
      <c r="F464" s="513">
        <f t="shared" si="146"/>
        <v>2974</v>
      </c>
      <c r="G464" s="510">
        <v>42374</v>
      </c>
      <c r="H464" s="528">
        <v>1000</v>
      </c>
      <c r="I464" s="512">
        <v>12.82</v>
      </c>
      <c r="J464" s="513">
        <v>0.24</v>
      </c>
      <c r="K464" s="513">
        <f t="shared" si="148"/>
        <v>12819.76</v>
      </c>
      <c r="L464" s="511"/>
      <c r="M464" s="513"/>
    </row>
    <row r="465" spans="1:13" x14ac:dyDescent="0.25">
      <c r="A465" s="511"/>
      <c r="B465" s="560">
        <v>42261</v>
      </c>
      <c r="C465" s="511">
        <v>300</v>
      </c>
      <c r="D465" s="512">
        <v>14.87</v>
      </c>
      <c r="E465" s="513">
        <v>0</v>
      </c>
      <c r="F465" s="513">
        <f t="shared" si="146"/>
        <v>4461</v>
      </c>
      <c r="G465" s="510">
        <v>42398</v>
      </c>
      <c r="H465" s="528">
        <v>400</v>
      </c>
      <c r="I465" s="512">
        <v>9.5500000000000007</v>
      </c>
      <c r="J465" s="513">
        <v>7.0000000000000007E-2</v>
      </c>
      <c r="K465" s="513">
        <f t="shared" si="148"/>
        <v>3819.9300000000003</v>
      </c>
      <c r="L465" s="511"/>
      <c r="M465" s="513"/>
    </row>
    <row r="466" spans="1:13" x14ac:dyDescent="0.25">
      <c r="A466" s="511"/>
      <c r="B466" s="560">
        <v>42270</v>
      </c>
      <c r="C466" s="511">
        <v>478</v>
      </c>
      <c r="D466" s="512">
        <v>15.85</v>
      </c>
      <c r="E466" s="513">
        <v>0</v>
      </c>
      <c r="F466" s="513">
        <f t="shared" si="146"/>
        <v>7576.3</v>
      </c>
      <c r="G466" s="510">
        <v>42411</v>
      </c>
      <c r="H466" s="528">
        <v>500</v>
      </c>
      <c r="I466" s="512">
        <v>6.97</v>
      </c>
      <c r="J466" s="513">
        <v>0.08</v>
      </c>
      <c r="K466" s="513">
        <f t="shared" si="148"/>
        <v>3484.92</v>
      </c>
      <c r="L466" s="511"/>
      <c r="M466" s="513"/>
    </row>
    <row r="467" spans="1:13" x14ac:dyDescent="0.25">
      <c r="A467" s="511"/>
      <c r="B467" s="560">
        <v>42292</v>
      </c>
      <c r="C467" s="511">
        <v>500</v>
      </c>
      <c r="D467" s="512">
        <v>18.55</v>
      </c>
      <c r="E467" s="513">
        <v>0</v>
      </c>
      <c r="F467" s="513">
        <f t="shared" si="146"/>
        <v>9275</v>
      </c>
      <c r="G467" s="510">
        <v>42412</v>
      </c>
      <c r="H467" s="528">
        <v>200</v>
      </c>
      <c r="I467" s="512">
        <v>7.45</v>
      </c>
      <c r="J467" s="513">
        <v>0.03</v>
      </c>
      <c r="K467" s="513">
        <f t="shared" si="148"/>
        <v>1489.97</v>
      </c>
      <c r="L467" s="511"/>
      <c r="M467" s="513"/>
    </row>
    <row r="468" spans="1:13" x14ac:dyDescent="0.25">
      <c r="A468" s="511"/>
      <c r="B468" s="560">
        <v>42299</v>
      </c>
      <c r="C468" s="511">
        <v>500</v>
      </c>
      <c r="D468" s="512">
        <v>18.55</v>
      </c>
      <c r="E468" s="513">
        <v>0</v>
      </c>
      <c r="F468" s="513">
        <f t="shared" si="146"/>
        <v>9275</v>
      </c>
      <c r="G468" s="510">
        <v>42416</v>
      </c>
      <c r="H468" s="528">
        <v>500</v>
      </c>
      <c r="I468" s="512">
        <v>7.75</v>
      </c>
      <c r="J468" s="513">
        <v>0.08</v>
      </c>
      <c r="K468" s="513">
        <f t="shared" si="148"/>
        <v>3874.92</v>
      </c>
      <c r="L468" s="511"/>
      <c r="M468" s="513"/>
    </row>
    <row r="469" spans="1:13" x14ac:dyDescent="0.25">
      <c r="A469" s="511"/>
      <c r="B469" s="560">
        <v>42299</v>
      </c>
      <c r="C469" s="511">
        <v>500</v>
      </c>
      <c r="D469" s="512">
        <v>18.28</v>
      </c>
      <c r="E469" s="513">
        <v>0</v>
      </c>
      <c r="F469" s="513">
        <f t="shared" si="146"/>
        <v>9140</v>
      </c>
      <c r="G469" s="510">
        <v>42422</v>
      </c>
      <c r="H469" s="528">
        <v>2500</v>
      </c>
      <c r="I469" s="512">
        <v>7.47</v>
      </c>
      <c r="J469" s="513">
        <v>0.41</v>
      </c>
      <c r="K469" s="513">
        <f t="shared" si="148"/>
        <v>18674.59</v>
      </c>
      <c r="L469" s="511"/>
      <c r="M469" s="513"/>
    </row>
    <row r="470" spans="1:13" x14ac:dyDescent="0.25">
      <c r="A470" s="511"/>
      <c r="B470" s="560">
        <v>42299</v>
      </c>
      <c r="C470" s="511">
        <v>1000</v>
      </c>
      <c r="D470" s="512">
        <v>18.100000000000001</v>
      </c>
      <c r="E470" s="513">
        <v>0</v>
      </c>
      <c r="F470" s="513">
        <f t="shared" si="146"/>
        <v>18100</v>
      </c>
      <c r="G470" s="510">
        <v>42422</v>
      </c>
      <c r="H470" s="528">
        <v>1000</v>
      </c>
      <c r="I470" s="512">
        <v>7.49</v>
      </c>
      <c r="J470" s="513">
        <v>0.16</v>
      </c>
      <c r="K470" s="513">
        <f t="shared" si="148"/>
        <v>7489.84</v>
      </c>
      <c r="L470" s="511"/>
      <c r="M470" s="513"/>
    </row>
    <row r="471" spans="1:13" x14ac:dyDescent="0.25">
      <c r="A471" s="511"/>
      <c r="B471" s="623">
        <v>42306</v>
      </c>
      <c r="C471" s="511">
        <v>660</v>
      </c>
      <c r="D471" s="512">
        <v>17.8</v>
      </c>
      <c r="E471" s="513">
        <v>0</v>
      </c>
      <c r="F471" s="513">
        <f t="shared" si="146"/>
        <v>11748</v>
      </c>
      <c r="G471" s="510">
        <v>42426</v>
      </c>
      <c r="H471" s="528">
        <v>900</v>
      </c>
      <c r="I471" s="512">
        <v>7.7</v>
      </c>
      <c r="J471" s="513">
        <v>0.15</v>
      </c>
      <c r="K471" s="513">
        <f t="shared" si="148"/>
        <v>6929.85</v>
      </c>
      <c r="L471" s="511"/>
      <c r="M471" s="513"/>
    </row>
    <row r="472" spans="1:13" ht="30" x14ac:dyDescent="0.25">
      <c r="A472" s="511"/>
      <c r="B472" s="623"/>
      <c r="C472" s="511">
        <v>340</v>
      </c>
      <c r="D472" s="512">
        <v>17.8</v>
      </c>
      <c r="E472" s="513">
        <v>0</v>
      </c>
      <c r="F472" s="513">
        <f t="shared" si="146"/>
        <v>6052</v>
      </c>
      <c r="G472" s="626" t="s">
        <v>181</v>
      </c>
      <c r="H472" s="528">
        <v>500</v>
      </c>
      <c r="I472" s="512">
        <v>7.73</v>
      </c>
      <c r="J472" s="513">
        <v>0.08</v>
      </c>
      <c r="K472" s="513">
        <f t="shared" si="148"/>
        <v>3864.92</v>
      </c>
      <c r="L472" s="511"/>
      <c r="M472" s="513"/>
    </row>
    <row r="473" spans="1:13" ht="15" customHeight="1" x14ac:dyDescent="0.25">
      <c r="A473" s="511"/>
      <c r="B473" s="560">
        <v>42312</v>
      </c>
      <c r="C473" s="609">
        <v>500</v>
      </c>
      <c r="D473" s="606">
        <v>17.559999999999999</v>
      </c>
      <c r="E473" s="607">
        <v>6.95</v>
      </c>
      <c r="F473" s="607">
        <f t="shared" si="146"/>
        <v>8786.9500000000007</v>
      </c>
      <c r="G473" s="626"/>
      <c r="H473" s="528">
        <v>500</v>
      </c>
      <c r="I473" s="512">
        <v>7.96</v>
      </c>
      <c r="J473" s="513">
        <v>0.09</v>
      </c>
      <c r="K473" s="513">
        <f t="shared" si="148"/>
        <v>3979.91</v>
      </c>
      <c r="L473" s="511"/>
      <c r="M473" s="513"/>
    </row>
    <row r="474" spans="1:13" x14ac:dyDescent="0.25">
      <c r="A474" s="511"/>
      <c r="B474" s="560">
        <v>42313</v>
      </c>
      <c r="C474" s="511">
        <v>3000</v>
      </c>
      <c r="D474" s="512">
        <v>19.05</v>
      </c>
      <c r="E474" s="513">
        <v>0</v>
      </c>
      <c r="F474" s="513">
        <f t="shared" si="146"/>
        <v>57150</v>
      </c>
      <c r="G474" s="626"/>
      <c r="H474" s="528">
        <v>500</v>
      </c>
      <c r="I474" s="512">
        <v>8.0299999999999994</v>
      </c>
      <c r="J474" s="513">
        <v>0.09</v>
      </c>
      <c r="K474" s="513">
        <f t="shared" si="148"/>
        <v>4014.9099999999994</v>
      </c>
      <c r="L474" s="511"/>
      <c r="M474" s="512"/>
    </row>
    <row r="475" spans="1:13" x14ac:dyDescent="0.25">
      <c r="A475" s="511"/>
      <c r="B475" s="560">
        <v>42320</v>
      </c>
      <c r="C475" s="511">
        <v>500</v>
      </c>
      <c r="D475" s="512">
        <v>18.079999999999998</v>
      </c>
      <c r="E475" s="513">
        <v>0</v>
      </c>
      <c r="F475" s="513">
        <f t="shared" si="146"/>
        <v>9040</v>
      </c>
      <c r="G475" s="626"/>
      <c r="H475" s="528">
        <v>1500</v>
      </c>
      <c r="I475" s="512">
        <v>8.1</v>
      </c>
      <c r="J475" s="513">
        <v>0.26</v>
      </c>
      <c r="K475" s="513">
        <f t="shared" si="148"/>
        <v>12149.74</v>
      </c>
      <c r="L475" s="511"/>
      <c r="M475" s="513"/>
    </row>
    <row r="476" spans="1:13" x14ac:dyDescent="0.25">
      <c r="A476" s="511"/>
      <c r="B476" s="560">
        <v>42320</v>
      </c>
      <c r="C476" s="511">
        <v>1000</v>
      </c>
      <c r="D476" s="512">
        <v>18.05</v>
      </c>
      <c r="E476" s="513">
        <v>0</v>
      </c>
      <c r="F476" s="513">
        <f t="shared" si="146"/>
        <v>18050</v>
      </c>
      <c r="G476" s="510">
        <v>42429</v>
      </c>
      <c r="H476" s="528">
        <v>1000</v>
      </c>
      <c r="I476" s="512">
        <v>8.5399999999999991</v>
      </c>
      <c r="J476" s="513">
        <v>0.19</v>
      </c>
      <c r="K476" s="513">
        <f>H476*I476-J476</f>
        <v>8539.81</v>
      </c>
      <c r="L476" s="511"/>
      <c r="M476" s="610"/>
    </row>
    <row r="477" spans="1:13" x14ac:dyDescent="0.25">
      <c r="A477" s="511"/>
      <c r="B477" s="560">
        <v>42320</v>
      </c>
      <c r="C477" s="511">
        <v>1000</v>
      </c>
      <c r="D477" s="512">
        <v>17.82</v>
      </c>
      <c r="E477" s="513">
        <v>0</v>
      </c>
      <c r="F477" s="513">
        <f t="shared" si="146"/>
        <v>17820</v>
      </c>
      <c r="G477" s="510">
        <v>42429</v>
      </c>
      <c r="H477" s="528">
        <v>500</v>
      </c>
      <c r="I477" s="512">
        <v>7.95</v>
      </c>
      <c r="J477" s="513">
        <v>0.09</v>
      </c>
      <c r="K477" s="513">
        <f>H477*I477-J477</f>
        <v>3974.91</v>
      </c>
      <c r="L477" s="511"/>
      <c r="M477" s="513"/>
    </row>
    <row r="478" spans="1:13" x14ac:dyDescent="0.25">
      <c r="A478" s="511"/>
      <c r="B478" s="560">
        <v>42328</v>
      </c>
      <c r="C478" s="511">
        <v>3078</v>
      </c>
      <c r="D478" s="512">
        <v>17.47</v>
      </c>
      <c r="E478" s="513">
        <v>0</v>
      </c>
      <c r="F478" s="513">
        <f t="shared" si="146"/>
        <v>53772.659999999996</v>
      </c>
      <c r="G478" s="510">
        <v>42429</v>
      </c>
      <c r="H478" s="528">
        <v>500</v>
      </c>
      <c r="I478" s="512">
        <v>7.97</v>
      </c>
      <c r="J478" s="513">
        <v>0.09</v>
      </c>
      <c r="K478" s="513">
        <f t="shared" ref="K478:K537" si="149">H478*I478-J478</f>
        <v>3984.91</v>
      </c>
      <c r="L478" s="511"/>
      <c r="M478" s="513"/>
    </row>
    <row r="479" spans="1:13" x14ac:dyDescent="0.25">
      <c r="A479" s="511"/>
      <c r="B479" s="560">
        <v>42340</v>
      </c>
      <c r="C479" s="511">
        <v>3078</v>
      </c>
      <c r="D479" s="512">
        <v>17.739999999999998</v>
      </c>
      <c r="E479" s="513">
        <v>0</v>
      </c>
      <c r="F479" s="513">
        <f t="shared" si="146"/>
        <v>54603.719999999994</v>
      </c>
      <c r="G479" s="510">
        <v>42430</v>
      </c>
      <c r="H479" s="528">
        <v>500</v>
      </c>
      <c r="I479" s="512">
        <v>7.85</v>
      </c>
      <c r="J479" s="513">
        <v>0.09</v>
      </c>
      <c r="K479" s="513">
        <f t="shared" si="149"/>
        <v>3924.91</v>
      </c>
      <c r="L479" s="511"/>
      <c r="M479" s="513"/>
    </row>
    <row r="480" spans="1:13" x14ac:dyDescent="0.25">
      <c r="A480" s="511"/>
      <c r="B480" s="560">
        <v>42340</v>
      </c>
      <c r="C480" s="511">
        <v>500</v>
      </c>
      <c r="D480" s="512">
        <v>17.5</v>
      </c>
      <c r="E480" s="513">
        <v>0</v>
      </c>
      <c r="F480" s="513">
        <f t="shared" si="146"/>
        <v>8750</v>
      </c>
      <c r="G480" s="510">
        <v>42430</v>
      </c>
      <c r="H480" s="528">
        <v>500</v>
      </c>
      <c r="I480" s="512">
        <v>8.0299999999999994</v>
      </c>
      <c r="J480" s="513">
        <v>0.09</v>
      </c>
      <c r="K480" s="513">
        <f t="shared" si="149"/>
        <v>4014.9099999999994</v>
      </c>
      <c r="L480" s="513"/>
      <c r="M480" s="513"/>
    </row>
    <row r="481" spans="1:13" x14ac:dyDescent="0.25">
      <c r="A481" s="511"/>
      <c r="B481" s="560">
        <v>42345</v>
      </c>
      <c r="C481" s="511">
        <v>100</v>
      </c>
      <c r="D481" s="512">
        <v>16.7</v>
      </c>
      <c r="E481" s="513">
        <v>0</v>
      </c>
      <c r="F481" s="513">
        <f t="shared" si="146"/>
        <v>1670</v>
      </c>
      <c r="G481" s="510">
        <v>42431</v>
      </c>
      <c r="H481" s="528">
        <v>500</v>
      </c>
      <c r="I481" s="512">
        <v>8.3800000000000008</v>
      </c>
      <c r="J481" s="513">
        <v>0.09</v>
      </c>
      <c r="K481" s="513">
        <f t="shared" si="149"/>
        <v>4189.91</v>
      </c>
      <c r="L481" s="513"/>
      <c r="M481" s="513"/>
    </row>
    <row r="482" spans="1:13" x14ac:dyDescent="0.25">
      <c r="A482" s="511"/>
      <c r="B482" s="560">
        <v>42345</v>
      </c>
      <c r="C482" s="511">
        <v>500</v>
      </c>
      <c r="D482" s="512">
        <v>16.850000000000001</v>
      </c>
      <c r="E482" s="513">
        <v>0</v>
      </c>
      <c r="F482" s="513">
        <f t="shared" si="146"/>
        <v>8425</v>
      </c>
      <c r="G482" s="510">
        <v>42431</v>
      </c>
      <c r="H482" s="528">
        <v>500</v>
      </c>
      <c r="I482" s="512">
        <v>8.58</v>
      </c>
      <c r="J482" s="513">
        <v>0.09</v>
      </c>
      <c r="K482" s="513">
        <f t="shared" si="149"/>
        <v>4289.91</v>
      </c>
      <c r="L482" s="511"/>
      <c r="M482" s="513"/>
    </row>
    <row r="483" spans="1:13" ht="30" x14ac:dyDescent="0.25">
      <c r="A483" s="511"/>
      <c r="B483" s="560">
        <v>42347</v>
      </c>
      <c r="C483" s="511">
        <v>500</v>
      </c>
      <c r="D483" s="512">
        <v>15.84</v>
      </c>
      <c r="E483" s="513">
        <v>0</v>
      </c>
      <c r="F483" s="513">
        <f t="shared" si="146"/>
        <v>7920</v>
      </c>
      <c r="G483" s="625" t="s">
        <v>183</v>
      </c>
      <c r="H483" s="528">
        <v>400</v>
      </c>
      <c r="I483" s="512">
        <v>9.09</v>
      </c>
      <c r="J483" s="513">
        <v>0.1</v>
      </c>
      <c r="K483" s="513">
        <f t="shared" si="149"/>
        <v>3635.9</v>
      </c>
      <c r="L483" s="511"/>
      <c r="M483" s="513"/>
    </row>
    <row r="484" spans="1:13" x14ac:dyDescent="0.25">
      <c r="A484" s="511"/>
      <c r="B484" s="560">
        <v>42348</v>
      </c>
      <c r="C484" s="511">
        <v>500</v>
      </c>
      <c r="D484" s="512">
        <v>14.78</v>
      </c>
      <c r="E484" s="513">
        <v>0</v>
      </c>
      <c r="F484" s="513">
        <f t="shared" si="146"/>
        <v>7390</v>
      </c>
      <c r="G484" s="625"/>
      <c r="H484" s="528">
        <v>100</v>
      </c>
      <c r="I484" s="512">
        <v>9.09</v>
      </c>
      <c r="J484" s="513">
        <v>0</v>
      </c>
      <c r="K484" s="513">
        <f t="shared" si="149"/>
        <v>909</v>
      </c>
      <c r="L484" s="511"/>
      <c r="M484" s="513"/>
    </row>
    <row r="485" spans="1:13" x14ac:dyDescent="0.25">
      <c r="A485" s="511"/>
      <c r="B485" s="560">
        <v>42352</v>
      </c>
      <c r="C485" s="511">
        <v>100</v>
      </c>
      <c r="D485" s="512">
        <v>14.57</v>
      </c>
      <c r="E485" s="513">
        <v>0</v>
      </c>
      <c r="F485" s="513">
        <f t="shared" si="146"/>
        <v>1457</v>
      </c>
      <c r="G485" s="625"/>
      <c r="H485" s="528">
        <v>500</v>
      </c>
      <c r="I485" s="512">
        <v>8.81</v>
      </c>
      <c r="J485" s="513">
        <v>0.1</v>
      </c>
      <c r="K485" s="513">
        <f t="shared" si="149"/>
        <v>4404.8999999999996</v>
      </c>
      <c r="L485" s="511"/>
      <c r="M485" s="513"/>
    </row>
    <row r="486" spans="1:13" x14ac:dyDescent="0.25">
      <c r="A486" s="511"/>
      <c r="B486" s="560">
        <v>42355</v>
      </c>
      <c r="C486" s="511">
        <v>500</v>
      </c>
      <c r="D486" s="512">
        <v>13.89</v>
      </c>
      <c r="E486" s="513">
        <v>0</v>
      </c>
      <c r="F486" s="513">
        <f t="shared" si="146"/>
        <v>6945</v>
      </c>
      <c r="G486" s="510">
        <v>42432</v>
      </c>
      <c r="H486" s="528">
        <v>600</v>
      </c>
      <c r="I486" s="512">
        <v>9.65</v>
      </c>
      <c r="J486" s="513">
        <v>0.13</v>
      </c>
      <c r="K486" s="513">
        <f t="shared" si="149"/>
        <v>5789.87</v>
      </c>
      <c r="L486" s="511"/>
      <c r="M486" s="513"/>
    </row>
    <row r="487" spans="1:13" x14ac:dyDescent="0.25">
      <c r="A487" s="511"/>
      <c r="B487" s="560">
        <v>42360</v>
      </c>
      <c r="C487" s="511">
        <v>500</v>
      </c>
      <c r="D487" s="512">
        <v>12.95</v>
      </c>
      <c r="E487" s="513">
        <v>0</v>
      </c>
      <c r="F487" s="513">
        <f t="shared" si="146"/>
        <v>6475</v>
      </c>
      <c r="G487" s="510">
        <v>42433</v>
      </c>
      <c r="H487" s="528">
        <v>600</v>
      </c>
      <c r="I487" s="512">
        <v>10.45</v>
      </c>
      <c r="J487" s="513">
        <v>0.14000000000000001</v>
      </c>
      <c r="K487" s="513">
        <f t="shared" si="149"/>
        <v>6269.86</v>
      </c>
      <c r="L487" s="511"/>
      <c r="M487" s="513"/>
    </row>
    <row r="488" spans="1:13" x14ac:dyDescent="0.25">
      <c r="A488" s="511"/>
      <c r="B488" s="560">
        <v>42361</v>
      </c>
      <c r="C488" s="511">
        <v>500</v>
      </c>
      <c r="D488" s="512">
        <v>12.75</v>
      </c>
      <c r="E488" s="513">
        <v>0</v>
      </c>
      <c r="F488" s="513">
        <f t="shared" si="146"/>
        <v>6375</v>
      </c>
      <c r="G488" s="510">
        <v>42440</v>
      </c>
      <c r="H488" s="528">
        <v>400</v>
      </c>
      <c r="I488" s="512">
        <v>11.25</v>
      </c>
      <c r="J488" s="513">
        <v>0.1</v>
      </c>
      <c r="K488" s="513">
        <f t="shared" si="149"/>
        <v>4499.8999999999996</v>
      </c>
      <c r="L488" s="511"/>
      <c r="M488" s="513"/>
    </row>
    <row r="489" spans="1:13" x14ac:dyDescent="0.25">
      <c r="A489" s="511"/>
      <c r="B489" s="560">
        <v>42361</v>
      </c>
      <c r="C489" s="511">
        <v>500</v>
      </c>
      <c r="D489" s="512">
        <v>12.8</v>
      </c>
      <c r="E489" s="513">
        <v>0</v>
      </c>
      <c r="F489" s="513">
        <f t="shared" si="146"/>
        <v>6400</v>
      </c>
      <c r="G489" s="510">
        <v>42446</v>
      </c>
      <c r="H489" s="528">
        <v>1500</v>
      </c>
      <c r="I489" s="512">
        <v>11.49</v>
      </c>
      <c r="J489" s="513">
        <v>0.38</v>
      </c>
      <c r="K489" s="513">
        <f t="shared" si="149"/>
        <v>17234.62</v>
      </c>
      <c r="L489" s="511"/>
      <c r="M489" s="513"/>
    </row>
    <row r="490" spans="1:13" x14ac:dyDescent="0.25">
      <c r="A490" s="511"/>
      <c r="B490" s="560">
        <v>42361</v>
      </c>
      <c r="C490" s="511">
        <v>1000</v>
      </c>
      <c r="D490" s="512">
        <v>12.67</v>
      </c>
      <c r="E490" s="513">
        <v>0</v>
      </c>
      <c r="F490" s="513">
        <f t="shared" si="146"/>
        <v>12670</v>
      </c>
      <c r="G490" s="510">
        <v>42447</v>
      </c>
      <c r="H490" s="528">
        <v>1500</v>
      </c>
      <c r="I490" s="512">
        <v>11.44</v>
      </c>
      <c r="J490" s="513">
        <v>0.37</v>
      </c>
      <c r="K490" s="513">
        <f t="shared" si="149"/>
        <v>17159.63</v>
      </c>
      <c r="L490" s="511"/>
      <c r="M490" s="513"/>
    </row>
    <row r="491" spans="1:13" x14ac:dyDescent="0.25">
      <c r="A491" s="511"/>
      <c r="B491" s="560">
        <v>42361</v>
      </c>
      <c r="C491" s="511">
        <v>222</v>
      </c>
      <c r="D491" s="512">
        <v>12.44</v>
      </c>
      <c r="E491" s="513">
        <v>0</v>
      </c>
      <c r="F491" s="513">
        <f t="shared" si="146"/>
        <v>2761.68</v>
      </c>
      <c r="G491" s="510">
        <v>42447</v>
      </c>
      <c r="H491" s="528">
        <v>500</v>
      </c>
      <c r="I491" s="512">
        <v>11.484999999999999</v>
      </c>
      <c r="J491" s="513">
        <v>0.13</v>
      </c>
      <c r="K491" s="513">
        <f t="shared" si="149"/>
        <v>5742.37</v>
      </c>
      <c r="L491" s="511"/>
      <c r="M491" s="513"/>
    </row>
    <row r="492" spans="1:13" x14ac:dyDescent="0.25">
      <c r="A492" s="511"/>
      <c r="B492" s="560">
        <v>42367</v>
      </c>
      <c r="C492" s="511">
        <v>2178</v>
      </c>
      <c r="D492" s="512">
        <v>13.68</v>
      </c>
      <c r="E492" s="513">
        <v>0</v>
      </c>
      <c r="F492" s="513">
        <f t="shared" si="146"/>
        <v>29795.040000000001</v>
      </c>
      <c r="G492" s="624">
        <v>42447</v>
      </c>
      <c r="H492" s="528">
        <v>650</v>
      </c>
      <c r="I492" s="512">
        <v>11.56</v>
      </c>
      <c r="J492" s="513">
        <v>0.25</v>
      </c>
      <c r="K492" s="513">
        <f t="shared" si="149"/>
        <v>7513.75</v>
      </c>
      <c r="L492" s="511"/>
      <c r="M492" s="513"/>
    </row>
    <row r="493" spans="1:13" x14ac:dyDescent="0.25">
      <c r="A493" s="511"/>
      <c r="B493" s="560">
        <v>42369</v>
      </c>
      <c r="C493" s="511">
        <v>2500</v>
      </c>
      <c r="D493" s="512">
        <v>13.04</v>
      </c>
      <c r="E493" s="513">
        <v>0</v>
      </c>
      <c r="F493" s="513">
        <f t="shared" si="146"/>
        <v>32599.999999999996</v>
      </c>
      <c r="G493" s="624"/>
      <c r="H493" s="528">
        <v>350</v>
      </c>
      <c r="I493" s="512">
        <v>11.56</v>
      </c>
      <c r="J493" s="513">
        <v>0</v>
      </c>
      <c r="K493" s="513">
        <f t="shared" si="149"/>
        <v>4046</v>
      </c>
      <c r="L493" s="511"/>
      <c r="M493" s="513"/>
    </row>
    <row r="494" spans="1:13" x14ac:dyDescent="0.25">
      <c r="A494" s="511"/>
      <c r="B494" s="560">
        <v>42008</v>
      </c>
      <c r="C494" s="511">
        <v>2000</v>
      </c>
      <c r="D494" s="512">
        <v>13.01</v>
      </c>
      <c r="E494" s="513">
        <v>0</v>
      </c>
      <c r="F494" s="513">
        <f t="shared" si="146"/>
        <v>26020</v>
      </c>
      <c r="G494" s="510">
        <v>42447</v>
      </c>
      <c r="H494" s="528">
        <v>1000</v>
      </c>
      <c r="I494" s="512">
        <v>11.62</v>
      </c>
      <c r="J494" s="513">
        <v>0.25</v>
      </c>
      <c r="K494" s="513">
        <f t="shared" si="149"/>
        <v>11619.75</v>
      </c>
      <c r="L494" s="511"/>
      <c r="M494" s="513"/>
    </row>
    <row r="495" spans="1:13" x14ac:dyDescent="0.25">
      <c r="A495" s="511"/>
      <c r="B495" s="560">
        <v>42009</v>
      </c>
      <c r="C495" s="511">
        <v>500</v>
      </c>
      <c r="D495" s="512">
        <v>12.62</v>
      </c>
      <c r="E495" s="513">
        <v>0</v>
      </c>
      <c r="F495" s="513">
        <f t="shared" si="146"/>
        <v>6310</v>
      </c>
      <c r="G495" s="510">
        <v>42451</v>
      </c>
      <c r="H495" s="528">
        <v>1000</v>
      </c>
      <c r="I495" s="512">
        <v>11.45</v>
      </c>
      <c r="J495" s="513">
        <v>0.25</v>
      </c>
      <c r="K495" s="513">
        <f t="shared" si="149"/>
        <v>11449.75</v>
      </c>
      <c r="L495" s="511"/>
      <c r="M495" s="513"/>
    </row>
    <row r="496" spans="1:13" x14ac:dyDescent="0.25">
      <c r="A496" s="511"/>
      <c r="B496" s="560">
        <v>42009</v>
      </c>
      <c r="C496" s="511">
        <v>500</v>
      </c>
      <c r="D496" s="512">
        <v>12.45</v>
      </c>
      <c r="E496" s="513">
        <v>0</v>
      </c>
      <c r="F496" s="513">
        <f t="shared" si="146"/>
        <v>6225</v>
      </c>
      <c r="G496" s="510">
        <v>42451</v>
      </c>
      <c r="H496" s="528">
        <v>50</v>
      </c>
      <c r="I496" s="512">
        <v>11.28</v>
      </c>
      <c r="J496" s="513">
        <v>0.01</v>
      </c>
      <c r="K496" s="513">
        <f t="shared" si="149"/>
        <v>563.99</v>
      </c>
      <c r="L496" s="511"/>
      <c r="M496" s="513"/>
    </row>
    <row r="497" spans="1:13" x14ac:dyDescent="0.25">
      <c r="A497" s="511"/>
      <c r="B497" s="611">
        <v>42374</v>
      </c>
      <c r="C497" s="511">
        <v>2000</v>
      </c>
      <c r="D497" s="512">
        <v>12.73</v>
      </c>
      <c r="E497" s="513">
        <v>0</v>
      </c>
      <c r="F497" s="513">
        <f t="shared" ref="F497:F560" si="150">C497*D497+E497</f>
        <v>25460</v>
      </c>
      <c r="G497" s="510">
        <v>42459</v>
      </c>
      <c r="H497" s="528">
        <v>2000</v>
      </c>
      <c r="I497" s="512">
        <v>10.75</v>
      </c>
      <c r="J497" s="513">
        <v>0.47</v>
      </c>
      <c r="K497" s="513">
        <f t="shared" si="149"/>
        <v>21499.53</v>
      </c>
      <c r="L497" s="511"/>
      <c r="M497" s="513"/>
    </row>
    <row r="498" spans="1:13" ht="15" customHeight="1" x14ac:dyDescent="0.25">
      <c r="A498" s="511"/>
      <c r="B498" s="560">
        <v>42375</v>
      </c>
      <c r="C498" s="511">
        <v>1000</v>
      </c>
      <c r="D498" s="512">
        <v>12.5</v>
      </c>
      <c r="E498" s="513">
        <v>0</v>
      </c>
      <c r="F498" s="513">
        <f t="shared" si="150"/>
        <v>12500</v>
      </c>
      <c r="G498" s="510">
        <v>42460</v>
      </c>
      <c r="H498" s="528">
        <v>1600</v>
      </c>
      <c r="I498" s="512">
        <v>10.95</v>
      </c>
      <c r="J498" s="513">
        <v>2.88</v>
      </c>
      <c r="K498" s="513">
        <f t="shared" si="149"/>
        <v>17517.12</v>
      </c>
      <c r="L498" s="511"/>
      <c r="M498" s="513"/>
    </row>
    <row r="499" spans="1:13" x14ac:dyDescent="0.25">
      <c r="A499" s="511"/>
      <c r="B499" s="560">
        <v>42375</v>
      </c>
      <c r="C499" s="511">
        <v>1000</v>
      </c>
      <c r="D499" s="512">
        <v>11.7</v>
      </c>
      <c r="E499" s="513">
        <v>0</v>
      </c>
      <c r="F499" s="513">
        <f t="shared" si="150"/>
        <v>11700</v>
      </c>
      <c r="G499" s="510">
        <v>42461</v>
      </c>
      <c r="H499" s="528">
        <v>2000</v>
      </c>
      <c r="I499" s="512">
        <v>10.52</v>
      </c>
      <c r="J499" s="513">
        <v>0.46</v>
      </c>
      <c r="K499" s="513">
        <f t="shared" si="149"/>
        <v>21039.54</v>
      </c>
      <c r="L499" s="511"/>
      <c r="M499" s="513"/>
    </row>
    <row r="500" spans="1:13" x14ac:dyDescent="0.25">
      <c r="A500" s="511"/>
      <c r="B500" s="560">
        <v>42402</v>
      </c>
      <c r="C500" s="511">
        <v>400</v>
      </c>
      <c r="D500" s="512">
        <v>9.1</v>
      </c>
      <c r="E500" s="513">
        <v>0</v>
      </c>
      <c r="F500" s="513">
        <f t="shared" si="150"/>
        <v>3640</v>
      </c>
      <c r="G500" s="510">
        <v>42461</v>
      </c>
      <c r="H500" s="528">
        <v>2000</v>
      </c>
      <c r="I500" s="512">
        <v>10.55</v>
      </c>
      <c r="J500" s="513">
        <v>0.46</v>
      </c>
      <c r="K500" s="513">
        <f t="shared" si="149"/>
        <v>21099.54</v>
      </c>
      <c r="L500" s="511"/>
      <c r="M500" s="513"/>
    </row>
    <row r="501" spans="1:13" x14ac:dyDescent="0.25">
      <c r="A501" s="511"/>
      <c r="B501" s="560">
        <v>42411</v>
      </c>
      <c r="C501" s="511">
        <v>500</v>
      </c>
      <c r="D501" s="512">
        <v>6.835</v>
      </c>
      <c r="E501" s="513">
        <v>0</v>
      </c>
      <c r="F501" s="513">
        <f t="shared" si="150"/>
        <v>3417.5</v>
      </c>
      <c r="G501" s="510">
        <v>42465</v>
      </c>
      <c r="H501" s="528">
        <v>100</v>
      </c>
      <c r="I501" s="512">
        <v>10.75</v>
      </c>
      <c r="J501" s="513">
        <v>0.02</v>
      </c>
      <c r="K501" s="513">
        <f t="shared" si="149"/>
        <v>1074.98</v>
      </c>
      <c r="L501" s="511"/>
      <c r="M501" s="513"/>
    </row>
    <row r="502" spans="1:13" x14ac:dyDescent="0.25">
      <c r="A502" s="511"/>
      <c r="B502" s="560">
        <v>42412</v>
      </c>
      <c r="C502" s="511">
        <v>200</v>
      </c>
      <c r="D502" s="512">
        <v>7.23</v>
      </c>
      <c r="E502" s="513">
        <v>0</v>
      </c>
      <c r="F502" s="513">
        <f t="shared" si="150"/>
        <v>1446</v>
      </c>
      <c r="G502" s="510">
        <v>42468</v>
      </c>
      <c r="H502" s="528">
        <v>1000</v>
      </c>
      <c r="I502" s="512">
        <v>11.77</v>
      </c>
      <c r="J502" s="513">
        <v>0.26</v>
      </c>
      <c r="K502" s="513">
        <f t="shared" si="149"/>
        <v>11769.74</v>
      </c>
      <c r="L502" s="511"/>
      <c r="M502" s="513"/>
    </row>
    <row r="503" spans="1:13" x14ac:dyDescent="0.25">
      <c r="A503" s="511"/>
      <c r="B503" s="560">
        <v>42416</v>
      </c>
      <c r="C503" s="511">
        <v>500</v>
      </c>
      <c r="D503" s="512">
        <v>7.5</v>
      </c>
      <c r="E503" s="513">
        <v>0</v>
      </c>
      <c r="F503" s="513">
        <f t="shared" si="150"/>
        <v>3750</v>
      </c>
      <c r="G503" s="624">
        <v>42472</v>
      </c>
      <c r="H503" s="528">
        <v>420</v>
      </c>
      <c r="I503" s="512">
        <v>13.35</v>
      </c>
      <c r="J503" s="513">
        <v>0.15</v>
      </c>
      <c r="K503" s="513">
        <f t="shared" si="149"/>
        <v>5606.85</v>
      </c>
      <c r="L503" s="511"/>
      <c r="M503" s="513"/>
    </row>
    <row r="504" spans="1:13" ht="30" x14ac:dyDescent="0.25">
      <c r="A504" s="511"/>
      <c r="B504" s="627" t="s">
        <v>179</v>
      </c>
      <c r="C504" s="511">
        <v>3000</v>
      </c>
      <c r="D504" s="512">
        <v>7.55</v>
      </c>
      <c r="E504" s="513">
        <v>0</v>
      </c>
      <c r="F504" s="513">
        <f t="shared" si="150"/>
        <v>22650</v>
      </c>
      <c r="G504" s="624"/>
      <c r="H504" s="528">
        <v>80</v>
      </c>
      <c r="I504" s="512">
        <v>13.35</v>
      </c>
      <c r="J504" s="513">
        <v>0</v>
      </c>
      <c r="K504" s="513">
        <f t="shared" si="149"/>
        <v>1068</v>
      </c>
      <c r="L504" s="511"/>
      <c r="M504" s="513"/>
    </row>
    <row r="505" spans="1:13" x14ac:dyDescent="0.25">
      <c r="A505" s="511"/>
      <c r="B505" s="627"/>
      <c r="C505" s="511">
        <v>500</v>
      </c>
      <c r="D505" s="512">
        <v>6.75</v>
      </c>
      <c r="E505" s="513">
        <v>0</v>
      </c>
      <c r="F505" s="513">
        <f t="shared" si="150"/>
        <v>3375</v>
      </c>
      <c r="G505" s="510">
        <v>42472</v>
      </c>
      <c r="H505" s="528">
        <v>500</v>
      </c>
      <c r="I505" s="512">
        <v>13.15</v>
      </c>
      <c r="J505" s="513">
        <v>0.14000000000000001</v>
      </c>
      <c r="K505" s="513">
        <f t="shared" si="149"/>
        <v>6574.86</v>
      </c>
      <c r="L505" s="511"/>
      <c r="M505" s="513"/>
    </row>
    <row r="506" spans="1:13" x14ac:dyDescent="0.25">
      <c r="A506" s="511"/>
      <c r="B506" s="627"/>
      <c r="C506" s="511">
        <v>300</v>
      </c>
      <c r="D506" s="512">
        <v>6.75</v>
      </c>
      <c r="E506" s="513">
        <v>0</v>
      </c>
      <c r="F506" s="513">
        <f t="shared" si="150"/>
        <v>2025</v>
      </c>
      <c r="G506" s="510">
        <v>42472</v>
      </c>
      <c r="H506" s="528">
        <v>500</v>
      </c>
      <c r="I506" s="512">
        <v>12.92</v>
      </c>
      <c r="J506" s="513">
        <v>0.14000000000000001</v>
      </c>
      <c r="K506" s="513">
        <f t="shared" si="149"/>
        <v>6459.86</v>
      </c>
      <c r="L506" s="511"/>
      <c r="M506" s="513"/>
    </row>
    <row r="507" spans="1:13" x14ac:dyDescent="0.25">
      <c r="A507" s="511"/>
      <c r="B507" s="560">
        <v>42426</v>
      </c>
      <c r="C507" s="511">
        <v>600</v>
      </c>
      <c r="D507" s="512">
        <v>7.63</v>
      </c>
      <c r="E507" s="513">
        <v>0</v>
      </c>
      <c r="F507" s="513">
        <f t="shared" si="150"/>
        <v>4578</v>
      </c>
      <c r="G507" s="510">
        <v>42472</v>
      </c>
      <c r="H507" s="528">
        <v>500</v>
      </c>
      <c r="I507" s="512">
        <v>12.59</v>
      </c>
      <c r="J507" s="513">
        <v>0.14000000000000001</v>
      </c>
      <c r="K507" s="513">
        <f t="shared" si="149"/>
        <v>6294.86</v>
      </c>
      <c r="L507" s="511"/>
      <c r="M507" s="513"/>
    </row>
    <row r="508" spans="1:13" x14ac:dyDescent="0.25">
      <c r="A508" s="511"/>
      <c r="B508" s="560">
        <v>42426</v>
      </c>
      <c r="C508" s="511">
        <v>2000</v>
      </c>
      <c r="D508" s="512">
        <v>7.95</v>
      </c>
      <c r="E508" s="513">
        <v>0</v>
      </c>
      <c r="F508" s="513">
        <f t="shared" si="150"/>
        <v>15900</v>
      </c>
      <c r="G508" s="510">
        <v>42474</v>
      </c>
      <c r="H508" s="528">
        <v>500</v>
      </c>
      <c r="I508" s="512">
        <v>13.18</v>
      </c>
      <c r="J508" s="513">
        <v>0.14000000000000001</v>
      </c>
      <c r="K508" s="513">
        <f t="shared" si="149"/>
        <v>6589.86</v>
      </c>
      <c r="L508" s="511"/>
      <c r="M508" s="513"/>
    </row>
    <row r="509" spans="1:13" x14ac:dyDescent="0.25">
      <c r="A509" s="511"/>
      <c r="B509" s="560">
        <v>42429</v>
      </c>
      <c r="C509" s="511">
        <v>2000</v>
      </c>
      <c r="D509" s="512">
        <v>8.1999999999999993</v>
      </c>
      <c r="E509" s="513">
        <v>0</v>
      </c>
      <c r="F509" s="513">
        <f t="shared" si="150"/>
        <v>16400</v>
      </c>
      <c r="G509" s="510">
        <v>42478</v>
      </c>
      <c r="H509" s="528">
        <v>500</v>
      </c>
      <c r="I509" s="512">
        <v>13.4</v>
      </c>
      <c r="J509" s="513">
        <v>0.15</v>
      </c>
      <c r="K509" s="513">
        <f t="shared" si="149"/>
        <v>6699.85</v>
      </c>
      <c r="L509" s="511"/>
      <c r="M509" s="513"/>
    </row>
    <row r="510" spans="1:13" x14ac:dyDescent="0.25">
      <c r="A510" s="513"/>
      <c r="B510" s="560">
        <v>42429</v>
      </c>
      <c r="C510" s="511">
        <v>500</v>
      </c>
      <c r="D510" s="512">
        <v>7.88</v>
      </c>
      <c r="E510" s="513">
        <v>0</v>
      </c>
      <c r="F510" s="513">
        <f t="shared" si="150"/>
        <v>3940</v>
      </c>
      <c r="G510" s="510">
        <v>42486</v>
      </c>
      <c r="H510" s="528">
        <v>500</v>
      </c>
      <c r="I510" s="512">
        <v>14.35</v>
      </c>
      <c r="J510" s="513">
        <v>0.16</v>
      </c>
      <c r="K510" s="513">
        <f t="shared" si="149"/>
        <v>7174.84</v>
      </c>
      <c r="L510" s="511"/>
      <c r="M510" s="513"/>
    </row>
    <row r="511" spans="1:13" x14ac:dyDescent="0.25">
      <c r="A511" s="511"/>
      <c r="B511" s="560">
        <v>42430</v>
      </c>
      <c r="C511" s="511">
        <v>1000</v>
      </c>
      <c r="D511" s="512">
        <v>7.77</v>
      </c>
      <c r="E511" s="513">
        <v>0</v>
      </c>
      <c r="F511" s="513">
        <f t="shared" si="150"/>
        <v>7770</v>
      </c>
      <c r="G511" s="510">
        <v>42487</v>
      </c>
      <c r="H511" s="528">
        <v>600</v>
      </c>
      <c r="I511" s="512">
        <v>14.85</v>
      </c>
      <c r="J511" s="513">
        <v>0.19</v>
      </c>
      <c r="K511" s="513">
        <f t="shared" si="149"/>
        <v>8909.81</v>
      </c>
      <c r="L511" s="511"/>
      <c r="M511" s="513"/>
    </row>
    <row r="512" spans="1:13" x14ac:dyDescent="0.25">
      <c r="A512" s="511"/>
      <c r="B512" s="560">
        <v>42430</v>
      </c>
      <c r="C512" s="511">
        <v>500</v>
      </c>
      <c r="D512" s="512">
        <v>7.94</v>
      </c>
      <c r="E512" s="513">
        <v>0</v>
      </c>
      <c r="F512" s="513">
        <f t="shared" si="150"/>
        <v>3970</v>
      </c>
      <c r="G512" s="510">
        <v>42489</v>
      </c>
      <c r="H512" s="528">
        <v>3000</v>
      </c>
      <c r="I512" s="512">
        <v>14.15</v>
      </c>
      <c r="J512" s="513">
        <v>0.93</v>
      </c>
      <c r="K512" s="513">
        <f t="shared" si="149"/>
        <v>42449.07</v>
      </c>
      <c r="L512" s="511"/>
      <c r="M512" s="513"/>
    </row>
    <row r="513" spans="1:13" x14ac:dyDescent="0.25">
      <c r="A513" s="511"/>
      <c r="B513" s="560">
        <v>42431</v>
      </c>
      <c r="C513" s="511">
        <v>1000</v>
      </c>
      <c r="D513" s="512">
        <v>8.3699999999999992</v>
      </c>
      <c r="E513" s="513">
        <v>0</v>
      </c>
      <c r="F513" s="513">
        <f t="shared" si="150"/>
        <v>8370</v>
      </c>
      <c r="G513" s="510">
        <v>42492</v>
      </c>
      <c r="H513" s="528">
        <v>1000</v>
      </c>
      <c r="I513" s="512">
        <v>13.48</v>
      </c>
      <c r="J513" s="513">
        <v>0.28999999999999998</v>
      </c>
      <c r="K513" s="513">
        <f t="shared" si="149"/>
        <v>13479.71</v>
      </c>
      <c r="L513" s="511"/>
      <c r="M513" s="513"/>
    </row>
    <row r="514" spans="1:13" x14ac:dyDescent="0.25">
      <c r="A514" s="511"/>
      <c r="B514" s="560">
        <v>42432</v>
      </c>
      <c r="C514" s="511">
        <v>600</v>
      </c>
      <c r="D514" s="512">
        <v>9.3699999999999992</v>
      </c>
      <c r="E514" s="513">
        <v>0</v>
      </c>
      <c r="F514" s="513">
        <f t="shared" si="150"/>
        <v>5621.9999999999991</v>
      </c>
      <c r="G514" s="510">
        <v>42492</v>
      </c>
      <c r="H514" s="528">
        <v>1000</v>
      </c>
      <c r="I514" s="512">
        <v>13.61</v>
      </c>
      <c r="J514" s="513">
        <v>0.3</v>
      </c>
      <c r="K514" s="513">
        <f t="shared" si="149"/>
        <v>13609.7</v>
      </c>
      <c r="L514" s="511"/>
      <c r="M514" s="513"/>
    </row>
    <row r="515" spans="1:13" x14ac:dyDescent="0.25">
      <c r="A515" s="511"/>
      <c r="B515" s="560">
        <v>42432</v>
      </c>
      <c r="C515" s="511">
        <v>600</v>
      </c>
      <c r="D515" s="512">
        <v>8.8800000000000008</v>
      </c>
      <c r="E515" s="513">
        <v>0</v>
      </c>
      <c r="F515" s="513">
        <f t="shared" si="150"/>
        <v>5328.0000000000009</v>
      </c>
      <c r="G515" s="510">
        <v>42493</v>
      </c>
      <c r="H515" s="528">
        <v>322</v>
      </c>
      <c r="I515" s="512">
        <v>13.28</v>
      </c>
      <c r="J515" s="513">
        <v>0.09</v>
      </c>
      <c r="K515" s="513">
        <f t="shared" si="149"/>
        <v>4276.07</v>
      </c>
      <c r="L515" s="511"/>
      <c r="M515" s="513"/>
    </row>
    <row r="516" spans="1:13" x14ac:dyDescent="0.25">
      <c r="A516" s="511"/>
      <c r="B516" s="560">
        <v>42433</v>
      </c>
      <c r="C516" s="511">
        <v>600</v>
      </c>
      <c r="D516" s="512">
        <v>10.42</v>
      </c>
      <c r="E516" s="513">
        <v>0</v>
      </c>
      <c r="F516" s="513">
        <f t="shared" si="150"/>
        <v>6252</v>
      </c>
      <c r="G516" s="510">
        <v>42495</v>
      </c>
      <c r="H516" s="528">
        <v>1000</v>
      </c>
      <c r="I516" s="512">
        <v>12.05</v>
      </c>
      <c r="J516" s="513">
        <v>0.26</v>
      </c>
      <c r="K516" s="513">
        <f t="shared" si="149"/>
        <v>12049.74</v>
      </c>
      <c r="L516" s="511"/>
      <c r="M516" s="513"/>
    </row>
    <row r="517" spans="1:13" x14ac:dyDescent="0.25">
      <c r="A517" s="511"/>
      <c r="B517" s="560">
        <v>42440</v>
      </c>
      <c r="C517" s="511">
        <v>400</v>
      </c>
      <c r="D517" s="512">
        <v>11.12</v>
      </c>
      <c r="E517" s="513">
        <v>0</v>
      </c>
      <c r="F517" s="513">
        <f t="shared" si="150"/>
        <v>4448</v>
      </c>
      <c r="G517" s="510">
        <v>42495</v>
      </c>
      <c r="H517" s="528">
        <v>2000</v>
      </c>
      <c r="I517" s="512">
        <v>12.63</v>
      </c>
      <c r="J517" s="513">
        <v>0.55000000000000004</v>
      </c>
      <c r="K517" s="513">
        <f t="shared" si="149"/>
        <v>25259.45</v>
      </c>
      <c r="L517" s="511"/>
      <c r="M517" s="513"/>
    </row>
    <row r="518" spans="1:13" x14ac:dyDescent="0.25">
      <c r="A518" s="511"/>
      <c r="B518" s="560">
        <v>42446</v>
      </c>
      <c r="C518" s="511">
        <v>1500</v>
      </c>
      <c r="D518" s="512">
        <v>11.445</v>
      </c>
      <c r="E518" s="513">
        <v>0</v>
      </c>
      <c r="F518" s="513">
        <f t="shared" si="150"/>
        <v>17167.5</v>
      </c>
      <c r="G518" s="510">
        <v>42500</v>
      </c>
      <c r="H518" s="528">
        <v>1000</v>
      </c>
      <c r="I518" s="512">
        <v>11.66</v>
      </c>
      <c r="J518" s="513">
        <v>5.25</v>
      </c>
      <c r="K518" s="513">
        <f t="shared" si="149"/>
        <v>11654.75</v>
      </c>
      <c r="L518" s="511"/>
      <c r="M518" s="513"/>
    </row>
    <row r="519" spans="1:13" x14ac:dyDescent="0.25">
      <c r="A519" s="511"/>
      <c r="B519" s="623">
        <v>42447</v>
      </c>
      <c r="C519" s="511">
        <v>1500</v>
      </c>
      <c r="D519" s="512">
        <v>11.42</v>
      </c>
      <c r="E519" s="513">
        <v>0</v>
      </c>
      <c r="F519" s="513">
        <f t="shared" si="150"/>
        <v>17130</v>
      </c>
      <c r="G519" s="510">
        <v>42502</v>
      </c>
      <c r="H519" s="528">
        <v>1500</v>
      </c>
      <c r="I519" s="512">
        <v>12.36</v>
      </c>
      <c r="J519" s="513">
        <v>0.4</v>
      </c>
      <c r="K519" s="513">
        <f t="shared" si="149"/>
        <v>18539.599999999999</v>
      </c>
      <c r="L519" s="511"/>
      <c r="M519" s="513"/>
    </row>
    <row r="520" spans="1:13" x14ac:dyDescent="0.25">
      <c r="A520" s="511"/>
      <c r="B520" s="628"/>
      <c r="C520" s="511">
        <v>500</v>
      </c>
      <c r="D520" s="512">
        <v>11.42</v>
      </c>
      <c r="E520" s="513">
        <v>0</v>
      </c>
      <c r="F520" s="513">
        <f t="shared" si="150"/>
        <v>5710</v>
      </c>
      <c r="G520" s="510">
        <v>42503</v>
      </c>
      <c r="H520" s="528">
        <v>500</v>
      </c>
      <c r="I520" s="512">
        <v>12.49</v>
      </c>
      <c r="J520" s="513">
        <v>0.14000000000000001</v>
      </c>
      <c r="K520" s="513">
        <f t="shared" si="149"/>
        <v>6244.86</v>
      </c>
      <c r="L520" s="511"/>
      <c r="M520" s="513"/>
    </row>
    <row r="521" spans="1:13" x14ac:dyDescent="0.25">
      <c r="A521" s="511"/>
      <c r="B521" s="560">
        <v>42447</v>
      </c>
      <c r="C521" s="511">
        <v>650</v>
      </c>
      <c r="D521" s="512">
        <v>11.545</v>
      </c>
      <c r="E521" s="513">
        <v>0.75</v>
      </c>
      <c r="F521" s="513">
        <f t="shared" si="150"/>
        <v>7505</v>
      </c>
      <c r="G521" s="510">
        <v>42506</v>
      </c>
      <c r="H521" s="528">
        <v>300</v>
      </c>
      <c r="I521" s="512">
        <v>12.85</v>
      </c>
      <c r="J521" s="513">
        <v>0.08</v>
      </c>
      <c r="K521" s="513">
        <f t="shared" si="149"/>
        <v>3854.92</v>
      </c>
      <c r="L521" s="511"/>
      <c r="M521" s="513"/>
    </row>
    <row r="522" spans="1:13" x14ac:dyDescent="0.25">
      <c r="A522" s="511"/>
      <c r="B522" s="560">
        <v>42450</v>
      </c>
      <c r="C522" s="511">
        <v>1350</v>
      </c>
      <c r="D522" s="512">
        <v>11.42</v>
      </c>
      <c r="E522" s="513">
        <v>0</v>
      </c>
      <c r="F522" s="513">
        <f t="shared" si="150"/>
        <v>15417</v>
      </c>
      <c r="G522" s="510">
        <v>42513</v>
      </c>
      <c r="H522" s="528">
        <v>500</v>
      </c>
      <c r="I522" s="512">
        <v>13.05</v>
      </c>
      <c r="J522" s="513">
        <v>0.14000000000000001</v>
      </c>
      <c r="K522" s="513">
        <f t="shared" si="149"/>
        <v>6524.86</v>
      </c>
      <c r="L522" s="511"/>
      <c r="M522" s="513"/>
    </row>
    <row r="523" spans="1:13" x14ac:dyDescent="0.25">
      <c r="A523" s="511"/>
      <c r="B523" s="560">
        <v>42451</v>
      </c>
      <c r="C523" s="511">
        <v>1000</v>
      </c>
      <c r="D523" s="512">
        <v>11.38</v>
      </c>
      <c r="E523" s="513">
        <v>0</v>
      </c>
      <c r="F523" s="513">
        <f t="shared" si="150"/>
        <v>11380</v>
      </c>
      <c r="G523" s="510">
        <v>42515</v>
      </c>
      <c r="H523" s="528">
        <v>500</v>
      </c>
      <c r="I523" s="512">
        <v>13.59</v>
      </c>
      <c r="J523" s="513">
        <v>0.15</v>
      </c>
      <c r="K523" s="513">
        <f t="shared" si="149"/>
        <v>6794.85</v>
      </c>
      <c r="L523" s="511"/>
      <c r="M523" s="513"/>
    </row>
    <row r="524" spans="1:13" x14ac:dyDescent="0.25">
      <c r="A524" s="511"/>
      <c r="B524" s="623">
        <v>42451</v>
      </c>
      <c r="C524" s="511">
        <v>50</v>
      </c>
      <c r="D524" s="512">
        <v>11.22</v>
      </c>
      <c r="E524" s="513">
        <v>0</v>
      </c>
      <c r="F524" s="513">
        <f t="shared" si="150"/>
        <v>561</v>
      </c>
      <c r="G524" s="510">
        <v>42515</v>
      </c>
      <c r="H524" s="528">
        <v>500</v>
      </c>
      <c r="I524" s="512">
        <v>13.57</v>
      </c>
      <c r="J524" s="513">
        <v>0.15</v>
      </c>
      <c r="K524" s="513">
        <f t="shared" si="149"/>
        <v>6784.85</v>
      </c>
      <c r="L524" s="511"/>
      <c r="M524" s="513"/>
    </row>
    <row r="525" spans="1:13" x14ac:dyDescent="0.25">
      <c r="A525" s="511"/>
      <c r="B525" s="623"/>
      <c r="C525" s="511">
        <v>350</v>
      </c>
      <c r="D525" s="512">
        <v>11.22</v>
      </c>
      <c r="E525" s="513">
        <v>0</v>
      </c>
      <c r="F525" s="513">
        <f t="shared" si="150"/>
        <v>3927</v>
      </c>
      <c r="G525" s="510">
        <v>42517</v>
      </c>
      <c r="H525" s="528">
        <v>500</v>
      </c>
      <c r="I525" s="512">
        <v>12.87</v>
      </c>
      <c r="J525" s="513">
        <v>0.14000000000000001</v>
      </c>
      <c r="K525" s="513">
        <f t="shared" si="149"/>
        <v>6434.86</v>
      </c>
      <c r="L525" s="511"/>
      <c r="M525" s="513"/>
    </row>
    <row r="526" spans="1:13" ht="45" x14ac:dyDescent="0.25">
      <c r="A526" s="511"/>
      <c r="B526" s="627" t="s">
        <v>193</v>
      </c>
      <c r="C526" s="511">
        <v>650</v>
      </c>
      <c r="D526" s="512">
        <v>11.22</v>
      </c>
      <c r="E526" s="513">
        <v>0</v>
      </c>
      <c r="F526" s="513">
        <f t="shared" si="150"/>
        <v>7293</v>
      </c>
      <c r="G526" s="510">
        <v>42524</v>
      </c>
      <c r="H526" s="528">
        <v>400</v>
      </c>
      <c r="I526" s="512">
        <v>13.38</v>
      </c>
      <c r="J526" s="513">
        <v>0.12</v>
      </c>
      <c r="K526" s="513">
        <f t="shared" si="149"/>
        <v>5351.88</v>
      </c>
      <c r="L526" s="511"/>
      <c r="M526" s="513"/>
    </row>
    <row r="527" spans="1:13" x14ac:dyDescent="0.25">
      <c r="A527" s="511"/>
      <c r="B527" s="627"/>
      <c r="C527" s="511">
        <v>500</v>
      </c>
      <c r="D527" s="512">
        <v>11.01</v>
      </c>
      <c r="E527" s="513">
        <v>0</v>
      </c>
      <c r="F527" s="513">
        <f t="shared" si="150"/>
        <v>5505</v>
      </c>
      <c r="G527" s="510">
        <v>42527</v>
      </c>
      <c r="H527" s="528">
        <v>1000</v>
      </c>
      <c r="I527" s="512">
        <v>13.82</v>
      </c>
      <c r="J527" s="513">
        <v>0.3</v>
      </c>
      <c r="K527" s="513">
        <f t="shared" si="149"/>
        <v>13819.7</v>
      </c>
      <c r="L527" s="511"/>
      <c r="M527" s="513"/>
    </row>
    <row r="528" spans="1:13" x14ac:dyDescent="0.25">
      <c r="A528" s="511"/>
      <c r="B528" s="627"/>
      <c r="C528" s="511">
        <v>500</v>
      </c>
      <c r="D528" s="512">
        <v>10.75</v>
      </c>
      <c r="E528" s="513">
        <v>0</v>
      </c>
      <c r="F528" s="513">
        <f t="shared" si="150"/>
        <v>5375</v>
      </c>
      <c r="G528" s="510">
        <v>42527</v>
      </c>
      <c r="H528" s="528">
        <v>500</v>
      </c>
      <c r="I528" s="512">
        <v>13.97</v>
      </c>
      <c r="J528" s="513">
        <v>1.1499999999999999</v>
      </c>
      <c r="K528" s="513">
        <f t="shared" si="149"/>
        <v>6983.85</v>
      </c>
      <c r="L528" s="511"/>
      <c r="M528" s="513"/>
    </row>
    <row r="529" spans="1:13" x14ac:dyDescent="0.25">
      <c r="A529" s="511"/>
      <c r="B529" s="627"/>
      <c r="C529" s="511">
        <v>1000</v>
      </c>
      <c r="D529" s="512">
        <v>10.4</v>
      </c>
      <c r="E529" s="513">
        <v>0</v>
      </c>
      <c r="F529" s="513">
        <f t="shared" si="150"/>
        <v>10400</v>
      </c>
      <c r="G529" s="510">
        <v>42528</v>
      </c>
      <c r="H529" s="528">
        <v>500</v>
      </c>
      <c r="I529" s="512">
        <v>14.65</v>
      </c>
      <c r="J529" s="513">
        <v>0.16</v>
      </c>
      <c r="K529" s="513">
        <f t="shared" si="149"/>
        <v>7324.84</v>
      </c>
      <c r="L529" s="511"/>
      <c r="M529" s="513"/>
    </row>
    <row r="530" spans="1:13" x14ac:dyDescent="0.25">
      <c r="A530" s="511"/>
      <c r="B530" s="627"/>
      <c r="C530" s="511">
        <v>1000</v>
      </c>
      <c r="D530" s="512">
        <v>10.185</v>
      </c>
      <c r="E530" s="513">
        <v>0</v>
      </c>
      <c r="F530" s="513">
        <f t="shared" si="150"/>
        <v>10185</v>
      </c>
      <c r="G530" s="510">
        <v>42536</v>
      </c>
      <c r="H530" s="528">
        <v>400</v>
      </c>
      <c r="I530" s="512">
        <v>13.43</v>
      </c>
      <c r="J530" s="513">
        <v>0.12</v>
      </c>
      <c r="K530" s="513">
        <f t="shared" si="149"/>
        <v>5371.88</v>
      </c>
      <c r="L530" s="511"/>
      <c r="M530" s="513"/>
    </row>
    <row r="531" spans="1:13" x14ac:dyDescent="0.25">
      <c r="A531" s="511"/>
      <c r="B531" s="560">
        <v>42461</v>
      </c>
      <c r="C531" s="511">
        <v>2000</v>
      </c>
      <c r="D531" s="512">
        <v>10.43</v>
      </c>
      <c r="E531" s="513">
        <v>0</v>
      </c>
      <c r="F531" s="513">
        <f t="shared" si="150"/>
        <v>20860</v>
      </c>
      <c r="G531" s="510">
        <v>42537</v>
      </c>
      <c r="H531" s="528">
        <v>400</v>
      </c>
      <c r="I531" s="512">
        <v>12.69</v>
      </c>
      <c r="J531" s="513">
        <v>0.11</v>
      </c>
      <c r="K531" s="513">
        <f t="shared" si="149"/>
        <v>5075.8900000000003</v>
      </c>
      <c r="L531" s="511"/>
      <c r="M531" s="513"/>
    </row>
    <row r="532" spans="1:13" x14ac:dyDescent="0.25">
      <c r="A532" s="511"/>
      <c r="B532" s="560">
        <v>42461</v>
      </c>
      <c r="C532" s="511">
        <v>2000</v>
      </c>
      <c r="D532" s="512">
        <v>10.42</v>
      </c>
      <c r="E532" s="513">
        <v>0</v>
      </c>
      <c r="F532" s="513">
        <f t="shared" si="150"/>
        <v>20840</v>
      </c>
      <c r="G532" s="510">
        <v>42538</v>
      </c>
      <c r="H532" s="528">
        <v>500</v>
      </c>
      <c r="I532" s="512">
        <v>13.34</v>
      </c>
      <c r="J532" s="513">
        <v>0.15</v>
      </c>
      <c r="K532" s="513">
        <f t="shared" si="149"/>
        <v>6669.85</v>
      </c>
      <c r="L532" s="511"/>
      <c r="M532" s="513"/>
    </row>
    <row r="533" spans="1:13" ht="45" x14ac:dyDescent="0.25">
      <c r="A533" s="511"/>
      <c r="B533" s="560">
        <v>42465</v>
      </c>
      <c r="C533" s="511">
        <v>100</v>
      </c>
      <c r="D533" s="512">
        <v>10.4</v>
      </c>
      <c r="E533" s="513">
        <v>0</v>
      </c>
      <c r="F533" s="513">
        <f t="shared" si="150"/>
        <v>1040</v>
      </c>
      <c r="G533" s="629" t="s">
        <v>220</v>
      </c>
      <c r="H533" s="528">
        <v>500</v>
      </c>
      <c r="I533" s="512">
        <v>13.91</v>
      </c>
      <c r="J533" s="513">
        <v>0.15</v>
      </c>
      <c r="K533" s="513">
        <f t="shared" si="149"/>
        <v>6954.85</v>
      </c>
      <c r="L533" s="511"/>
      <c r="M533" s="513"/>
    </row>
    <row r="534" spans="1:13" x14ac:dyDescent="0.25">
      <c r="A534" s="511"/>
      <c r="B534" s="560">
        <v>42471</v>
      </c>
      <c r="C534" s="511">
        <v>500</v>
      </c>
      <c r="D534" s="512">
        <v>11.77</v>
      </c>
      <c r="E534" s="513">
        <v>0</v>
      </c>
      <c r="F534" s="513">
        <f t="shared" si="150"/>
        <v>5885</v>
      </c>
      <c r="G534" s="629"/>
      <c r="H534" s="528">
        <v>600</v>
      </c>
      <c r="I534" s="512">
        <v>14.36</v>
      </c>
      <c r="J534" s="513">
        <v>0.19</v>
      </c>
      <c r="K534" s="513">
        <f t="shared" si="149"/>
        <v>8615.81</v>
      </c>
      <c r="L534" s="511"/>
      <c r="M534" s="513"/>
    </row>
    <row r="535" spans="1:13" x14ac:dyDescent="0.25">
      <c r="A535" s="511"/>
      <c r="B535" s="560">
        <v>42471</v>
      </c>
      <c r="C535" s="511">
        <v>500</v>
      </c>
      <c r="D535" s="512">
        <v>11.55</v>
      </c>
      <c r="E535" s="513">
        <v>0</v>
      </c>
      <c r="F535" s="513">
        <f t="shared" si="150"/>
        <v>5775</v>
      </c>
      <c r="G535" s="629"/>
      <c r="H535" s="528">
        <v>500</v>
      </c>
      <c r="I535" s="512">
        <v>14.65</v>
      </c>
      <c r="J535" s="513">
        <v>0.16</v>
      </c>
      <c r="K535" s="513">
        <f t="shared" si="149"/>
        <v>7324.84</v>
      </c>
      <c r="L535" s="511"/>
      <c r="M535" s="513"/>
    </row>
    <row r="536" spans="1:13" x14ac:dyDescent="0.25">
      <c r="A536" s="511"/>
      <c r="B536" s="560">
        <v>42472</v>
      </c>
      <c r="C536" s="511">
        <v>610</v>
      </c>
      <c r="D536" s="512">
        <v>12.95</v>
      </c>
      <c r="E536" s="513">
        <v>0</v>
      </c>
      <c r="F536" s="513">
        <f t="shared" si="150"/>
        <v>7899.5</v>
      </c>
      <c r="G536" s="510">
        <v>42542</v>
      </c>
      <c r="H536" s="528">
        <v>500</v>
      </c>
      <c r="I536" s="512">
        <v>14.95</v>
      </c>
      <c r="J536" s="513">
        <v>0.16</v>
      </c>
      <c r="K536" s="513">
        <f t="shared" si="149"/>
        <v>7474.84</v>
      </c>
      <c r="L536" s="511"/>
      <c r="M536" s="513"/>
    </row>
    <row r="537" spans="1:13" x14ac:dyDescent="0.25">
      <c r="A537" s="511"/>
      <c r="B537" s="560">
        <v>42473</v>
      </c>
      <c r="C537" s="511">
        <v>970</v>
      </c>
      <c r="D537" s="512">
        <v>12.76</v>
      </c>
      <c r="E537" s="513">
        <v>4.0999999999999996</v>
      </c>
      <c r="F537" s="513">
        <f t="shared" si="150"/>
        <v>12381.3</v>
      </c>
      <c r="G537" s="510">
        <v>42542</v>
      </c>
      <c r="H537" s="528">
        <v>378</v>
      </c>
      <c r="I537" s="512">
        <v>15.2</v>
      </c>
      <c r="J537" s="513">
        <v>0.13</v>
      </c>
      <c r="K537" s="513">
        <f t="shared" si="149"/>
        <v>5745.4699999999993</v>
      </c>
      <c r="L537" s="511"/>
      <c r="M537" s="513"/>
    </row>
    <row r="538" spans="1:13" x14ac:dyDescent="0.25">
      <c r="A538" s="511"/>
      <c r="B538" s="560">
        <v>42474</v>
      </c>
      <c r="C538" s="511">
        <v>420</v>
      </c>
      <c r="D538" s="512">
        <v>12.755000000000001</v>
      </c>
      <c r="E538" s="513">
        <v>0.34</v>
      </c>
      <c r="F538" s="513">
        <f t="shared" si="150"/>
        <v>5357.4400000000005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42475</v>
      </c>
      <c r="C539" s="511">
        <v>500</v>
      </c>
      <c r="D539" s="512">
        <v>13.02</v>
      </c>
      <c r="E539" s="513">
        <v>-1.75</v>
      </c>
      <c r="F539" s="513">
        <f t="shared" si="150"/>
        <v>6508.25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42485</v>
      </c>
      <c r="C540" s="511">
        <v>500</v>
      </c>
      <c r="D540" s="512">
        <v>13.95</v>
      </c>
      <c r="E540" s="513">
        <v>0</v>
      </c>
      <c r="F540" s="513">
        <f t="shared" si="150"/>
        <v>6975</v>
      </c>
      <c r="G540" s="511"/>
      <c r="H540" s="528"/>
      <c r="I540" s="512"/>
      <c r="J540" s="513"/>
      <c r="K540" s="513"/>
      <c r="L540" s="511"/>
      <c r="M540" s="513"/>
    </row>
    <row r="541" spans="1:13" x14ac:dyDescent="0.25">
      <c r="A541" s="511"/>
      <c r="B541" s="560">
        <v>42487</v>
      </c>
      <c r="C541" s="511">
        <v>600</v>
      </c>
      <c r="D541" s="512">
        <v>14.63</v>
      </c>
      <c r="E541" s="513">
        <v>0</v>
      </c>
      <c r="F541" s="513">
        <f t="shared" si="150"/>
        <v>8778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511"/>
      <c r="B542" s="560">
        <v>42488</v>
      </c>
      <c r="C542" s="511">
        <v>500</v>
      </c>
      <c r="D542" s="512">
        <v>14.52</v>
      </c>
      <c r="E542" s="513">
        <v>0</v>
      </c>
      <c r="F542" s="513">
        <f t="shared" si="150"/>
        <v>7260</v>
      </c>
      <c r="G542" s="511"/>
      <c r="H542" s="528"/>
      <c r="I542" s="512"/>
      <c r="J542" s="513"/>
      <c r="K542" s="513"/>
      <c r="L542" s="511"/>
      <c r="M542" s="513"/>
    </row>
    <row r="543" spans="1:13" ht="30" x14ac:dyDescent="0.25">
      <c r="A543" s="630" t="s">
        <v>198</v>
      </c>
      <c r="B543" s="560">
        <v>42489</v>
      </c>
      <c r="C543" s="511">
        <v>500</v>
      </c>
      <c r="D543" s="512">
        <v>14.35</v>
      </c>
      <c r="E543" s="513">
        <v>0</v>
      </c>
      <c r="F543" s="513">
        <f t="shared" si="150"/>
        <v>7175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630"/>
      <c r="B544" s="560">
        <v>42489</v>
      </c>
      <c r="C544" s="511">
        <v>500</v>
      </c>
      <c r="D544" s="512">
        <v>14.15</v>
      </c>
      <c r="E544" s="513">
        <v>0</v>
      </c>
      <c r="F544" s="513">
        <f t="shared" si="150"/>
        <v>7075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630"/>
      <c r="B545" s="560">
        <v>42489</v>
      </c>
      <c r="C545" s="511">
        <v>1000</v>
      </c>
      <c r="D545" s="512">
        <v>13.92</v>
      </c>
      <c r="E545" s="513">
        <v>0</v>
      </c>
      <c r="F545" s="513">
        <f t="shared" si="150"/>
        <v>13920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630"/>
      <c r="B546" s="560">
        <v>42489</v>
      </c>
      <c r="C546" s="511">
        <v>1000</v>
      </c>
      <c r="D546" s="512">
        <v>13.8</v>
      </c>
      <c r="E546" s="513">
        <v>0</v>
      </c>
      <c r="F546" s="513">
        <f t="shared" si="150"/>
        <v>13800</v>
      </c>
      <c r="G546" s="511"/>
      <c r="H546" s="528"/>
      <c r="I546" s="512"/>
      <c r="J546" s="513"/>
      <c r="K546" s="513"/>
      <c r="L546" s="511"/>
      <c r="M546" s="513"/>
    </row>
    <row r="547" spans="1:13" x14ac:dyDescent="0.25">
      <c r="A547" s="511"/>
      <c r="B547" s="560">
        <v>42492</v>
      </c>
      <c r="C547" s="511">
        <v>1500</v>
      </c>
      <c r="D547" s="512">
        <v>13.25</v>
      </c>
      <c r="E547" s="513">
        <v>0</v>
      </c>
      <c r="F547" s="513">
        <f t="shared" si="150"/>
        <v>19875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511"/>
      <c r="B548" s="560">
        <v>42492</v>
      </c>
      <c r="C548" s="511">
        <v>500</v>
      </c>
      <c r="D548" s="512">
        <v>13.6</v>
      </c>
      <c r="E548" s="513">
        <v>0</v>
      </c>
      <c r="F548" s="513">
        <f t="shared" si="150"/>
        <v>6800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511"/>
      <c r="B549" s="560">
        <v>42493</v>
      </c>
      <c r="C549" s="511">
        <v>322</v>
      </c>
      <c r="D549" s="512">
        <v>12.85</v>
      </c>
      <c r="E549" s="513">
        <v>0</v>
      </c>
      <c r="F549" s="513">
        <f t="shared" si="150"/>
        <v>4137.7</v>
      </c>
      <c r="G549" s="511"/>
      <c r="H549" s="528"/>
      <c r="I549" s="512"/>
      <c r="J549" s="513"/>
      <c r="K549" s="513"/>
      <c r="L549" s="511"/>
      <c r="M549" s="513"/>
    </row>
    <row r="550" spans="1:13" ht="30" x14ac:dyDescent="0.25">
      <c r="A550" s="614" t="s">
        <v>202</v>
      </c>
      <c r="B550" s="560">
        <v>42494</v>
      </c>
      <c r="C550" s="511">
        <v>1000</v>
      </c>
      <c r="D550" s="512">
        <v>12.25</v>
      </c>
      <c r="E550" s="513">
        <v>0</v>
      </c>
      <c r="F550" s="513">
        <f t="shared" si="150"/>
        <v>12250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614"/>
      <c r="B551" s="560">
        <v>42494</v>
      </c>
      <c r="C551" s="511">
        <v>500</v>
      </c>
      <c r="D551" s="512">
        <v>12.53</v>
      </c>
      <c r="E551" s="513">
        <v>0</v>
      </c>
      <c r="F551" s="513">
        <f t="shared" si="150"/>
        <v>6265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614"/>
      <c r="B552" s="560">
        <v>42494</v>
      </c>
      <c r="C552" s="511">
        <v>500</v>
      </c>
      <c r="D552" s="512">
        <v>12.65</v>
      </c>
      <c r="E552" s="513">
        <v>0</v>
      </c>
      <c r="F552" s="513">
        <f t="shared" si="150"/>
        <v>6325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42495</v>
      </c>
      <c r="C553" s="511">
        <v>1000</v>
      </c>
      <c r="D553" s="512">
        <v>11.95</v>
      </c>
      <c r="E553" s="513">
        <v>0</v>
      </c>
      <c r="F553" s="513">
        <f t="shared" si="150"/>
        <v>11950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42499</v>
      </c>
      <c r="C554" s="511">
        <v>500</v>
      </c>
      <c r="D554" s="512">
        <v>11.48</v>
      </c>
      <c r="E554" s="513">
        <v>0</v>
      </c>
      <c r="F554" s="513">
        <f t="shared" si="150"/>
        <v>5740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42499</v>
      </c>
      <c r="C555" s="511">
        <v>500</v>
      </c>
      <c r="D555" s="512">
        <v>11.32</v>
      </c>
      <c r="E555" s="513">
        <v>0</v>
      </c>
      <c r="F555" s="513">
        <f t="shared" si="150"/>
        <v>5660</v>
      </c>
      <c r="G555" s="511"/>
      <c r="H555" s="528"/>
      <c r="I555" s="512"/>
      <c r="J555" s="513"/>
      <c r="K555" s="513"/>
      <c r="L555" s="511"/>
      <c r="M555" s="513"/>
    </row>
    <row r="556" spans="1:13" ht="30" x14ac:dyDescent="0.25">
      <c r="A556" s="630" t="s">
        <v>205</v>
      </c>
      <c r="B556" s="560">
        <v>42502</v>
      </c>
      <c r="C556" s="511">
        <v>500</v>
      </c>
      <c r="D556" s="512">
        <v>12.38</v>
      </c>
      <c r="E556" s="513">
        <v>0</v>
      </c>
      <c r="F556" s="513">
        <f t="shared" si="150"/>
        <v>6190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630"/>
      <c r="B557" s="560">
        <v>42502</v>
      </c>
      <c r="C557" s="511">
        <v>500</v>
      </c>
      <c r="D557" s="512">
        <v>12.3</v>
      </c>
      <c r="E557" s="513">
        <v>0</v>
      </c>
      <c r="F557" s="513">
        <f t="shared" si="150"/>
        <v>6150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630"/>
      <c r="B558" s="560">
        <v>42502</v>
      </c>
      <c r="C558" s="511">
        <v>500</v>
      </c>
      <c r="D558" s="512">
        <v>12.23</v>
      </c>
      <c r="E558" s="513">
        <v>0</v>
      </c>
      <c r="F558" s="513">
        <f t="shared" si="150"/>
        <v>6115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42503</v>
      </c>
      <c r="C559" s="511">
        <v>500</v>
      </c>
      <c r="D559" s="512">
        <v>12.41</v>
      </c>
      <c r="E559" s="513">
        <v>0</v>
      </c>
      <c r="F559" s="513">
        <f t="shared" si="150"/>
        <v>6205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42506</v>
      </c>
      <c r="C560" s="511">
        <v>300</v>
      </c>
      <c r="D560" s="512">
        <v>12.8</v>
      </c>
      <c r="E560" s="513">
        <v>0</v>
      </c>
      <c r="F560" s="513">
        <f t="shared" si="150"/>
        <v>3840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42514</v>
      </c>
      <c r="C561" s="511">
        <v>500</v>
      </c>
      <c r="D561" s="512">
        <v>13.02</v>
      </c>
      <c r="E561" s="513">
        <v>-1.65</v>
      </c>
      <c r="F561" s="513">
        <f t="shared" ref="F561:F624" si="151">C561*D561+E561</f>
        <v>6508.35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42515</v>
      </c>
      <c r="C562" s="511">
        <v>500</v>
      </c>
      <c r="D562" s="512">
        <v>13.45</v>
      </c>
      <c r="E562" s="513">
        <v>1</v>
      </c>
      <c r="F562" s="513">
        <f t="shared" si="151"/>
        <v>6726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42516</v>
      </c>
      <c r="C563" s="511">
        <v>500</v>
      </c>
      <c r="D563" s="512">
        <v>13.28</v>
      </c>
      <c r="E563" s="513">
        <v>-1.04</v>
      </c>
      <c r="F563" s="513">
        <f t="shared" si="151"/>
        <v>6638.96</v>
      </c>
      <c r="G563" s="511"/>
      <c r="H563" s="528"/>
      <c r="I563" s="512"/>
      <c r="J563" s="513"/>
      <c r="K563" s="513"/>
      <c r="L563" s="511"/>
      <c r="M563" s="513"/>
    </row>
    <row r="564" spans="1:13" x14ac:dyDescent="0.25">
      <c r="A564" s="511"/>
      <c r="B564" s="560">
        <v>42517</v>
      </c>
      <c r="C564" s="511">
        <v>500</v>
      </c>
      <c r="D564" s="512">
        <v>12.79</v>
      </c>
      <c r="E564" s="513">
        <v>0</v>
      </c>
      <c r="F564" s="513">
        <f t="shared" si="151"/>
        <v>6395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42524</v>
      </c>
      <c r="C565" s="511">
        <v>400</v>
      </c>
      <c r="D565" s="512">
        <v>13.28</v>
      </c>
      <c r="E565" s="513">
        <v>0</v>
      </c>
      <c r="F565" s="513">
        <f t="shared" si="151"/>
        <v>5312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42529</v>
      </c>
      <c r="C566" s="511">
        <v>500</v>
      </c>
      <c r="D566" s="512">
        <v>14.59</v>
      </c>
      <c r="E566" s="513">
        <v>0</v>
      </c>
      <c r="F566" s="513">
        <f t="shared" si="151"/>
        <v>7295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42531</v>
      </c>
      <c r="C567" s="511">
        <v>800</v>
      </c>
      <c r="D567" s="512">
        <v>13.79</v>
      </c>
      <c r="E567" s="513">
        <v>0</v>
      </c>
      <c r="F567" s="513">
        <f t="shared" si="151"/>
        <v>11032</v>
      </c>
      <c r="G567" s="511"/>
      <c r="H567" s="528"/>
      <c r="I567" s="512"/>
      <c r="J567" s="513"/>
      <c r="K567" s="513"/>
      <c r="L567" s="511"/>
      <c r="M567" s="513"/>
    </row>
    <row r="568" spans="1:13" x14ac:dyDescent="0.25">
      <c r="A568" s="511"/>
      <c r="B568" s="560">
        <v>42531</v>
      </c>
      <c r="C568" s="511">
        <v>300</v>
      </c>
      <c r="D568" s="512">
        <v>13.4</v>
      </c>
      <c r="E568" s="513">
        <v>0</v>
      </c>
      <c r="F568" s="513">
        <f t="shared" si="151"/>
        <v>4020</v>
      </c>
      <c r="G568" s="511"/>
      <c r="H568" s="528"/>
      <c r="I568" s="512"/>
      <c r="J568" s="513"/>
      <c r="K568" s="513"/>
      <c r="L568" s="511"/>
      <c r="M568" s="513"/>
    </row>
    <row r="569" spans="1:13" x14ac:dyDescent="0.25">
      <c r="A569" s="511"/>
      <c r="B569" s="560">
        <v>42535</v>
      </c>
      <c r="C569" s="511">
        <v>400</v>
      </c>
      <c r="D569" s="512">
        <v>12.85</v>
      </c>
      <c r="E569" s="513">
        <v>0</v>
      </c>
      <c r="F569" s="513">
        <f t="shared" si="151"/>
        <v>5140</v>
      </c>
      <c r="G569" s="511"/>
      <c r="H569" s="528"/>
      <c r="I569" s="512"/>
      <c r="J569" s="513"/>
      <c r="K569" s="513"/>
      <c r="L569" s="511"/>
      <c r="M569" s="513"/>
    </row>
    <row r="570" spans="1:13" x14ac:dyDescent="0.25">
      <c r="A570" s="511"/>
      <c r="B570" s="560">
        <v>42537</v>
      </c>
      <c r="C570" s="511">
        <v>400</v>
      </c>
      <c r="D570" s="512">
        <v>12.43</v>
      </c>
      <c r="E570" s="513">
        <v>-0.04</v>
      </c>
      <c r="F570" s="513">
        <f t="shared" si="151"/>
        <v>4971.96</v>
      </c>
      <c r="G570" s="511"/>
      <c r="H570" s="528"/>
      <c r="I570" s="512"/>
      <c r="J570" s="513"/>
      <c r="K570" s="513"/>
      <c r="L570" s="511"/>
      <c r="M570" s="513"/>
    </row>
    <row r="571" spans="1:13" x14ac:dyDescent="0.25">
      <c r="A571" s="511"/>
      <c r="B571" s="560">
        <v>42538</v>
      </c>
      <c r="C571" s="511">
        <v>500</v>
      </c>
      <c r="D571" s="512">
        <v>13.14</v>
      </c>
      <c r="E571" s="513">
        <v>0</v>
      </c>
      <c r="F571" s="513">
        <f t="shared" si="151"/>
        <v>6570</v>
      </c>
      <c r="G571" s="511"/>
      <c r="H571" s="528"/>
      <c r="I571" s="512"/>
      <c r="J571" s="513"/>
      <c r="K571" s="513"/>
      <c r="L571" s="511"/>
      <c r="M571" s="513"/>
    </row>
    <row r="572" spans="1:13" x14ac:dyDescent="0.25">
      <c r="A572" s="511"/>
      <c r="B572" s="560">
        <v>42543</v>
      </c>
      <c r="C572" s="511">
        <v>500</v>
      </c>
      <c r="D572" s="512">
        <v>14.75</v>
      </c>
      <c r="E572" s="513">
        <v>0</v>
      </c>
      <c r="F572" s="513">
        <f t="shared" si="151"/>
        <v>7375</v>
      </c>
      <c r="G572" s="510">
        <v>42544</v>
      </c>
      <c r="H572" s="528">
        <v>500</v>
      </c>
      <c r="I572" s="512">
        <v>15.24</v>
      </c>
      <c r="J572" s="513">
        <v>0.17</v>
      </c>
      <c r="K572" s="513">
        <f>H572*I572-J572</f>
        <v>7619.83</v>
      </c>
      <c r="L572" s="511"/>
      <c r="M572" s="513"/>
    </row>
    <row r="573" spans="1:13" x14ac:dyDescent="0.25">
      <c r="A573" s="511"/>
      <c r="B573" s="560">
        <v>42545</v>
      </c>
      <c r="C573" s="511">
        <v>878</v>
      </c>
      <c r="D573" s="512">
        <v>14.41</v>
      </c>
      <c r="E573" s="513">
        <v>0</v>
      </c>
      <c r="F573" s="513">
        <f t="shared" si="151"/>
        <v>12651.98</v>
      </c>
      <c r="G573" s="511"/>
      <c r="H573" s="528"/>
      <c r="I573" s="512"/>
      <c r="J573" s="513"/>
      <c r="K573" s="513"/>
      <c r="L573" s="511"/>
      <c r="M573" s="513"/>
    </row>
    <row r="574" spans="1:13" x14ac:dyDescent="0.25">
      <c r="A574" s="511"/>
      <c r="B574" s="560">
        <v>42545</v>
      </c>
      <c r="C574" s="511">
        <v>335</v>
      </c>
      <c r="D574" s="512">
        <v>14.08</v>
      </c>
      <c r="E574" s="513">
        <v>0</v>
      </c>
      <c r="F574" s="513">
        <f t="shared" si="151"/>
        <v>4716.8</v>
      </c>
      <c r="G574" s="511"/>
      <c r="H574" s="528"/>
      <c r="I574" s="512"/>
      <c r="J574" s="513"/>
      <c r="K574" s="513"/>
      <c r="L574" s="511"/>
      <c r="M574" s="513"/>
    </row>
    <row r="575" spans="1:13" x14ac:dyDescent="0.25">
      <c r="A575" s="511"/>
      <c r="B575" s="560">
        <v>42548</v>
      </c>
      <c r="C575" s="511">
        <v>965</v>
      </c>
      <c r="D575" s="512">
        <v>13.81</v>
      </c>
      <c r="E575" s="513">
        <v>0</v>
      </c>
      <c r="F575" s="513">
        <f t="shared" si="151"/>
        <v>13326.65</v>
      </c>
      <c r="G575" s="511"/>
      <c r="H575" s="528"/>
      <c r="I575" s="512"/>
      <c r="J575" s="513"/>
      <c r="K575" s="513"/>
      <c r="L575" s="511"/>
      <c r="M575" s="513"/>
    </row>
    <row r="576" spans="1:13" x14ac:dyDescent="0.25">
      <c r="A576" s="511"/>
      <c r="B576" s="560">
        <v>42548</v>
      </c>
      <c r="C576" s="511">
        <v>300</v>
      </c>
      <c r="D576" s="512">
        <v>13.58</v>
      </c>
      <c r="E576" s="513">
        <v>0</v>
      </c>
      <c r="F576" s="513">
        <f t="shared" si="151"/>
        <v>4074</v>
      </c>
      <c r="G576" s="510">
        <v>42549</v>
      </c>
      <c r="H576" s="528">
        <v>1100</v>
      </c>
      <c r="I576" s="512">
        <v>14.68</v>
      </c>
      <c r="J576" s="513">
        <v>0.35</v>
      </c>
      <c r="K576" s="513">
        <f t="shared" ref="K576:K661" si="152">H576*I576-J576</f>
        <v>16147.65</v>
      </c>
      <c r="L576" s="511"/>
      <c r="M576" s="513"/>
    </row>
    <row r="577" spans="1:13" ht="45" x14ac:dyDescent="0.25">
      <c r="A577" s="511"/>
      <c r="B577" s="560">
        <v>42556</v>
      </c>
      <c r="C577" s="511">
        <v>2178</v>
      </c>
      <c r="D577" s="512">
        <v>15.08</v>
      </c>
      <c r="E577" s="513">
        <v>0</v>
      </c>
      <c r="F577" s="513">
        <f t="shared" si="151"/>
        <v>32844.239999999998</v>
      </c>
      <c r="G577" s="626" t="s">
        <v>229</v>
      </c>
      <c r="H577" s="528">
        <v>500</v>
      </c>
      <c r="I577" s="512">
        <v>15.48</v>
      </c>
      <c r="J577" s="513">
        <v>0.17</v>
      </c>
      <c r="K577" s="513">
        <f t="shared" si="152"/>
        <v>7739.83</v>
      </c>
      <c r="L577" s="511"/>
      <c r="M577" s="513"/>
    </row>
    <row r="578" spans="1:13" x14ac:dyDescent="0.25">
      <c r="A578" s="511"/>
      <c r="B578" s="560">
        <v>42556</v>
      </c>
      <c r="C578" s="511">
        <v>500</v>
      </c>
      <c r="D578" s="512">
        <v>14.62</v>
      </c>
      <c r="E578" s="513">
        <v>0</v>
      </c>
      <c r="F578" s="513">
        <f t="shared" si="151"/>
        <v>7310</v>
      </c>
      <c r="G578" s="626"/>
      <c r="H578" s="528">
        <v>378</v>
      </c>
      <c r="I578" s="512">
        <v>15.65</v>
      </c>
      <c r="J578" s="513">
        <v>0.13</v>
      </c>
      <c r="K578" s="513">
        <f t="shared" si="152"/>
        <v>5915.57</v>
      </c>
      <c r="L578" s="511"/>
      <c r="M578" s="513"/>
    </row>
    <row r="579" spans="1:13" x14ac:dyDescent="0.25">
      <c r="A579" s="511"/>
      <c r="B579" s="560">
        <v>42557</v>
      </c>
      <c r="C579" s="511">
        <v>500</v>
      </c>
      <c r="D579" s="512">
        <v>14.78</v>
      </c>
      <c r="E579" s="513">
        <v>0</v>
      </c>
      <c r="F579" s="513">
        <f t="shared" si="151"/>
        <v>7390</v>
      </c>
      <c r="G579" s="626"/>
      <c r="H579" s="528">
        <v>500</v>
      </c>
      <c r="I579" s="512">
        <v>15.51</v>
      </c>
      <c r="J579" s="513">
        <v>0.17</v>
      </c>
      <c r="K579" s="513">
        <f t="shared" si="152"/>
        <v>7754.83</v>
      </c>
      <c r="L579" s="511"/>
      <c r="M579" s="513"/>
    </row>
    <row r="580" spans="1:13" x14ac:dyDescent="0.25">
      <c r="A580" s="511"/>
      <c r="B580" s="612">
        <v>42564</v>
      </c>
      <c r="C580" s="511">
        <v>320</v>
      </c>
      <c r="D580" s="512">
        <v>15.48</v>
      </c>
      <c r="E580" s="513">
        <v>0</v>
      </c>
      <c r="F580" s="513">
        <f t="shared" si="151"/>
        <v>4953.6000000000004</v>
      </c>
      <c r="G580" s="626"/>
      <c r="H580" s="528">
        <v>800</v>
      </c>
      <c r="I580" s="512">
        <v>15.78</v>
      </c>
      <c r="J580" s="513">
        <v>0.28000000000000003</v>
      </c>
      <c r="K580" s="513">
        <f t="shared" si="152"/>
        <v>12623.72</v>
      </c>
      <c r="L580" s="511"/>
      <c r="M580" s="513"/>
    </row>
    <row r="581" spans="1:13" x14ac:dyDescent="0.25">
      <c r="A581" s="613"/>
      <c r="B581" s="612">
        <v>42564</v>
      </c>
      <c r="C581" s="511">
        <v>160</v>
      </c>
      <c r="D581" s="512">
        <v>15.48</v>
      </c>
      <c r="E581" s="513">
        <v>0</v>
      </c>
      <c r="F581" s="513">
        <f t="shared" si="151"/>
        <v>2476.8000000000002</v>
      </c>
      <c r="G581" s="510">
        <v>42557</v>
      </c>
      <c r="H581" s="528">
        <v>500</v>
      </c>
      <c r="I581" s="512">
        <v>14.92</v>
      </c>
      <c r="J581" s="513">
        <v>0.16</v>
      </c>
      <c r="K581" s="513">
        <f t="shared" si="152"/>
        <v>7459.84</v>
      </c>
      <c r="L581" s="511"/>
      <c r="M581" s="513"/>
    </row>
    <row r="582" spans="1:13" x14ac:dyDescent="0.25">
      <c r="A582" s="613"/>
      <c r="B582" s="560">
        <v>42570</v>
      </c>
      <c r="C582" s="511">
        <v>200</v>
      </c>
      <c r="D582" s="512">
        <v>15.18</v>
      </c>
      <c r="E582" s="513">
        <v>0</v>
      </c>
      <c r="F582" s="513">
        <f t="shared" si="151"/>
        <v>3036</v>
      </c>
      <c r="G582" s="510">
        <v>42564</v>
      </c>
      <c r="H582" s="528">
        <v>420</v>
      </c>
      <c r="I582" s="512">
        <v>15.68</v>
      </c>
      <c r="J582" s="513">
        <v>0.14000000000000001</v>
      </c>
      <c r="K582" s="513">
        <f t="shared" si="152"/>
        <v>6585.4599999999991</v>
      </c>
      <c r="L582" s="511"/>
      <c r="M582" s="513"/>
    </row>
    <row r="583" spans="1:13" x14ac:dyDescent="0.25">
      <c r="A583" s="613"/>
      <c r="B583" s="560">
        <v>42570</v>
      </c>
      <c r="C583" s="511">
        <v>200</v>
      </c>
      <c r="D583" s="512">
        <v>14.68</v>
      </c>
      <c r="E583" s="513">
        <v>0</v>
      </c>
      <c r="F583" s="513">
        <f t="shared" si="151"/>
        <v>2936</v>
      </c>
      <c r="G583" s="510">
        <v>42571</v>
      </c>
      <c r="H583" s="528">
        <v>200</v>
      </c>
      <c r="I583" s="512">
        <v>14.82</v>
      </c>
      <c r="J583" s="513">
        <v>0.06</v>
      </c>
      <c r="K583" s="513">
        <f t="shared" si="152"/>
        <v>2963.94</v>
      </c>
      <c r="L583" s="511"/>
      <c r="M583" s="513"/>
    </row>
    <row r="584" spans="1:13" x14ac:dyDescent="0.25">
      <c r="A584" s="511"/>
      <c r="B584" s="560">
        <v>42571</v>
      </c>
      <c r="C584" s="511">
        <v>200</v>
      </c>
      <c r="D584" s="512">
        <v>14.33</v>
      </c>
      <c r="E584" s="513">
        <v>-1</v>
      </c>
      <c r="F584" s="513">
        <f t="shared" si="151"/>
        <v>2865</v>
      </c>
      <c r="G584" s="510">
        <v>42572</v>
      </c>
      <c r="H584" s="528">
        <v>200</v>
      </c>
      <c r="I584" s="512">
        <v>14.8</v>
      </c>
      <c r="J584" s="513">
        <v>0.06</v>
      </c>
      <c r="K584" s="513">
        <f t="shared" si="152"/>
        <v>2959.94</v>
      </c>
      <c r="L584" s="511"/>
      <c r="M584" s="513"/>
    </row>
    <row r="585" spans="1:13" x14ac:dyDescent="0.25">
      <c r="A585" s="511"/>
      <c r="B585" s="560">
        <v>42572</v>
      </c>
      <c r="C585" s="511">
        <v>60</v>
      </c>
      <c r="D585" s="512">
        <v>14.58</v>
      </c>
      <c r="E585" s="513">
        <v>0</v>
      </c>
      <c r="F585" s="513">
        <f t="shared" si="151"/>
        <v>874.8</v>
      </c>
      <c r="G585" s="510">
        <v>42577</v>
      </c>
      <c r="H585" s="528">
        <v>200</v>
      </c>
      <c r="I585" s="512">
        <v>13.78</v>
      </c>
      <c r="J585" s="513">
        <v>0.06</v>
      </c>
      <c r="K585" s="513">
        <f t="shared" si="152"/>
        <v>2755.94</v>
      </c>
      <c r="L585" s="511"/>
      <c r="M585" s="513"/>
    </row>
    <row r="586" spans="1:13" x14ac:dyDescent="0.25">
      <c r="A586" s="511"/>
      <c r="B586" s="560">
        <v>42572</v>
      </c>
      <c r="C586" s="511">
        <v>140</v>
      </c>
      <c r="D586" s="512">
        <v>14.65</v>
      </c>
      <c r="E586" s="513">
        <v>0</v>
      </c>
      <c r="F586" s="513">
        <f t="shared" si="151"/>
        <v>2051</v>
      </c>
      <c r="G586" s="510">
        <v>42580</v>
      </c>
      <c r="H586" s="528">
        <v>200</v>
      </c>
      <c r="I586" s="512">
        <v>13.224</v>
      </c>
      <c r="J586" s="513">
        <v>0.08</v>
      </c>
      <c r="K586" s="513">
        <f t="shared" si="152"/>
        <v>2644.7200000000003</v>
      </c>
      <c r="L586" s="511"/>
      <c r="M586" s="513"/>
    </row>
    <row r="587" spans="1:13" x14ac:dyDescent="0.25">
      <c r="A587" s="511"/>
      <c r="B587" s="560">
        <v>42573</v>
      </c>
      <c r="C587" s="511">
        <v>140</v>
      </c>
      <c r="D587" s="512">
        <v>14.08</v>
      </c>
      <c r="E587" s="513">
        <v>0</v>
      </c>
      <c r="F587" s="513">
        <f t="shared" si="151"/>
        <v>1971.2</v>
      </c>
      <c r="G587" s="510">
        <v>42580</v>
      </c>
      <c r="H587" s="528">
        <v>200</v>
      </c>
      <c r="I587" s="512">
        <v>13.58</v>
      </c>
      <c r="J587" s="513">
        <v>0.06</v>
      </c>
      <c r="K587" s="513">
        <f t="shared" si="152"/>
        <v>2715.94</v>
      </c>
      <c r="L587" s="511"/>
      <c r="M587" s="513"/>
    </row>
    <row r="588" spans="1:13" x14ac:dyDescent="0.25">
      <c r="A588" s="511"/>
      <c r="B588" s="560">
        <v>42576</v>
      </c>
      <c r="C588" s="511">
        <v>200</v>
      </c>
      <c r="D588" s="512">
        <v>13.55</v>
      </c>
      <c r="E588" s="513">
        <v>0</v>
      </c>
      <c r="F588" s="513">
        <f t="shared" si="151"/>
        <v>2710</v>
      </c>
      <c r="G588" s="510">
        <v>42586</v>
      </c>
      <c r="H588" s="528">
        <v>400</v>
      </c>
      <c r="I588" s="512">
        <v>13.78</v>
      </c>
      <c r="J588" s="513">
        <v>0.12</v>
      </c>
      <c r="K588" s="513">
        <f t="shared" si="152"/>
        <v>5511.88</v>
      </c>
      <c r="L588" s="511"/>
      <c r="M588" s="513"/>
    </row>
    <row r="589" spans="1:13" x14ac:dyDescent="0.25">
      <c r="A589" s="511"/>
      <c r="B589" s="560">
        <v>42578</v>
      </c>
      <c r="C589" s="511">
        <v>200</v>
      </c>
      <c r="D589" s="512">
        <v>13.18</v>
      </c>
      <c r="E589" s="513">
        <v>0</v>
      </c>
      <c r="F589" s="513">
        <f t="shared" si="151"/>
        <v>2636</v>
      </c>
      <c r="G589" s="510">
        <v>42586</v>
      </c>
      <c r="H589" s="528">
        <v>400</v>
      </c>
      <c r="I589" s="512">
        <v>13.72</v>
      </c>
      <c r="J589" s="513">
        <v>0.12</v>
      </c>
      <c r="K589" s="513">
        <f t="shared" si="152"/>
        <v>5487.88</v>
      </c>
      <c r="L589" s="511"/>
      <c r="M589" s="513"/>
    </row>
    <row r="590" spans="1:13" x14ac:dyDescent="0.25">
      <c r="A590" s="511"/>
      <c r="B590" s="560">
        <v>42580</v>
      </c>
      <c r="C590" s="511">
        <v>200</v>
      </c>
      <c r="D590" s="512">
        <v>13.15</v>
      </c>
      <c r="E590" s="513">
        <v>0</v>
      </c>
      <c r="F590" s="513">
        <f t="shared" si="151"/>
        <v>2630</v>
      </c>
      <c r="G590" s="510">
        <v>42586</v>
      </c>
      <c r="H590" s="528">
        <v>140</v>
      </c>
      <c r="I590" s="512">
        <v>13.88</v>
      </c>
      <c r="J590" s="513">
        <v>0.04</v>
      </c>
      <c r="K590" s="513">
        <f t="shared" si="152"/>
        <v>1943.16</v>
      </c>
      <c r="L590" s="511"/>
      <c r="M590" s="513"/>
    </row>
    <row r="591" spans="1:13" x14ac:dyDescent="0.25">
      <c r="A591" s="511"/>
      <c r="B591" s="560">
        <v>42583</v>
      </c>
      <c r="C591" s="609">
        <v>20</v>
      </c>
      <c r="D591" s="512">
        <v>13.02</v>
      </c>
      <c r="E591" s="513">
        <v>0</v>
      </c>
      <c r="F591" s="513">
        <f t="shared" si="151"/>
        <v>260.39999999999998</v>
      </c>
      <c r="G591" s="510">
        <v>42593</v>
      </c>
      <c r="H591" s="528">
        <v>460</v>
      </c>
      <c r="I591" s="512">
        <v>14.59</v>
      </c>
      <c r="J591" s="513">
        <v>0.15</v>
      </c>
      <c r="K591" s="513">
        <f t="shared" si="152"/>
        <v>6711.25</v>
      </c>
      <c r="L591" s="511"/>
      <c r="M591" s="513"/>
    </row>
    <row r="592" spans="1:13" x14ac:dyDescent="0.25">
      <c r="A592" s="511"/>
      <c r="B592" s="560">
        <v>42583</v>
      </c>
      <c r="C592" s="511">
        <v>180</v>
      </c>
      <c r="D592" s="512">
        <v>13.02</v>
      </c>
      <c r="E592" s="513">
        <v>0</v>
      </c>
      <c r="F592" s="513">
        <f t="shared" si="151"/>
        <v>2343.6</v>
      </c>
      <c r="G592" s="510">
        <v>42594</v>
      </c>
      <c r="H592" s="528">
        <v>500</v>
      </c>
      <c r="I592" s="512">
        <v>14.88</v>
      </c>
      <c r="J592" s="513">
        <v>0.16</v>
      </c>
      <c r="K592" s="513">
        <f t="shared" si="152"/>
        <v>7439.84</v>
      </c>
      <c r="L592" s="511"/>
      <c r="M592" s="513"/>
    </row>
    <row r="593" spans="1:13" x14ac:dyDescent="0.25">
      <c r="A593" s="511"/>
      <c r="B593" s="560">
        <v>42584</v>
      </c>
      <c r="C593" s="511">
        <v>120</v>
      </c>
      <c r="D593" s="512">
        <v>12.68</v>
      </c>
      <c r="E593" s="513">
        <v>0</v>
      </c>
      <c r="F593" s="513">
        <f t="shared" si="151"/>
        <v>1521.6</v>
      </c>
      <c r="G593" s="510">
        <v>42598</v>
      </c>
      <c r="H593" s="528">
        <v>500</v>
      </c>
      <c r="I593" s="512">
        <v>15.18</v>
      </c>
      <c r="J593" s="513">
        <v>0.17</v>
      </c>
      <c r="K593" s="513">
        <f t="shared" si="152"/>
        <v>7589.83</v>
      </c>
      <c r="L593" s="511"/>
      <c r="M593" s="513"/>
    </row>
    <row r="594" spans="1:13" x14ac:dyDescent="0.25">
      <c r="A594" s="511"/>
      <c r="B594" s="560">
        <v>42584</v>
      </c>
      <c r="C594" s="511">
        <v>80</v>
      </c>
      <c r="D594" s="512">
        <v>12.68</v>
      </c>
      <c r="E594" s="513">
        <v>0</v>
      </c>
      <c r="F594" s="513">
        <f t="shared" si="151"/>
        <v>1014.4</v>
      </c>
      <c r="G594" s="510">
        <v>42599</v>
      </c>
      <c r="H594" s="528">
        <v>500</v>
      </c>
      <c r="I594" s="512">
        <v>15.18</v>
      </c>
      <c r="J594" s="513">
        <v>0.17</v>
      </c>
      <c r="K594" s="513">
        <f t="shared" si="152"/>
        <v>7589.83</v>
      </c>
      <c r="L594" s="511"/>
      <c r="M594" s="513"/>
    </row>
    <row r="595" spans="1:13" x14ac:dyDescent="0.25">
      <c r="A595" s="511"/>
      <c r="B595" s="560">
        <v>42585</v>
      </c>
      <c r="C595" s="511">
        <v>242</v>
      </c>
      <c r="D595" s="512">
        <v>13.38</v>
      </c>
      <c r="E595" s="513">
        <v>0</v>
      </c>
      <c r="F595" s="513">
        <f t="shared" si="151"/>
        <v>3237.96</v>
      </c>
      <c r="G595" s="510">
        <v>42599</v>
      </c>
      <c r="H595" s="528">
        <v>500</v>
      </c>
      <c r="I595" s="512">
        <v>15.41</v>
      </c>
      <c r="J595" s="513">
        <v>0.17</v>
      </c>
      <c r="K595" s="513">
        <f t="shared" si="152"/>
        <v>7704.83</v>
      </c>
      <c r="L595" s="511"/>
      <c r="M595" s="513"/>
    </row>
    <row r="596" spans="1:13" x14ac:dyDescent="0.25">
      <c r="A596" s="511"/>
      <c r="B596" s="560">
        <v>42585</v>
      </c>
      <c r="C596" s="511">
        <v>158</v>
      </c>
      <c r="D596" s="512">
        <v>13.38</v>
      </c>
      <c r="E596" s="513">
        <v>0</v>
      </c>
      <c r="F596" s="513">
        <f t="shared" si="151"/>
        <v>2114.04</v>
      </c>
      <c r="G596" s="510">
        <v>42599</v>
      </c>
      <c r="H596" s="528">
        <v>500</v>
      </c>
      <c r="I596" s="512">
        <v>15.65</v>
      </c>
      <c r="J596" s="513">
        <v>0.17</v>
      </c>
      <c r="K596" s="513">
        <f t="shared" si="152"/>
        <v>7824.83</v>
      </c>
      <c r="L596" s="511"/>
      <c r="M596" s="513"/>
    </row>
    <row r="597" spans="1:13" ht="45" x14ac:dyDescent="0.25">
      <c r="A597" s="511"/>
      <c r="B597" s="560">
        <v>42594</v>
      </c>
      <c r="C597" s="511">
        <v>500</v>
      </c>
      <c r="D597" s="512">
        <v>14.65</v>
      </c>
      <c r="E597" s="513">
        <v>0</v>
      </c>
      <c r="F597" s="513">
        <f t="shared" si="151"/>
        <v>7325</v>
      </c>
      <c r="G597" s="631" t="s">
        <v>259</v>
      </c>
      <c r="H597" s="528">
        <v>500</v>
      </c>
      <c r="I597" s="512">
        <v>16.18</v>
      </c>
      <c r="J597" s="513">
        <v>0.18</v>
      </c>
      <c r="K597" s="513">
        <f t="shared" si="152"/>
        <v>8089.82</v>
      </c>
      <c r="L597" s="511"/>
      <c r="M597" s="513"/>
    </row>
    <row r="598" spans="1:13" x14ac:dyDescent="0.25">
      <c r="A598" s="511"/>
      <c r="B598" s="560">
        <v>42599</v>
      </c>
      <c r="C598" s="511">
        <v>242</v>
      </c>
      <c r="D598" s="512">
        <v>14.95</v>
      </c>
      <c r="E598" s="513">
        <v>0</v>
      </c>
      <c r="F598" s="513">
        <f t="shared" si="151"/>
        <v>3617.8999999999996</v>
      </c>
      <c r="G598" s="631"/>
      <c r="H598" s="528">
        <v>500</v>
      </c>
      <c r="I598" s="512">
        <v>16.38</v>
      </c>
      <c r="J598" s="513">
        <v>0.18</v>
      </c>
      <c r="K598" s="513">
        <f t="shared" si="152"/>
        <v>8189.8199999999988</v>
      </c>
      <c r="L598" s="511"/>
      <c r="M598" s="513"/>
    </row>
    <row r="599" spans="1:13" x14ac:dyDescent="0.25">
      <c r="A599" s="511"/>
      <c r="B599" s="560">
        <v>42599</v>
      </c>
      <c r="C599" s="511">
        <v>200</v>
      </c>
      <c r="D599" s="512">
        <v>14.95</v>
      </c>
      <c r="E599" s="513">
        <v>0</v>
      </c>
      <c r="F599" s="513">
        <f t="shared" si="151"/>
        <v>2990</v>
      </c>
      <c r="G599" s="631"/>
      <c r="H599" s="528">
        <v>178</v>
      </c>
      <c r="I599" s="512">
        <v>16.5</v>
      </c>
      <c r="J599" s="513">
        <v>0.06</v>
      </c>
      <c r="K599" s="513">
        <f t="shared" si="152"/>
        <v>2936.94</v>
      </c>
      <c r="L599" s="511"/>
      <c r="M599" s="513"/>
    </row>
    <row r="600" spans="1:13" x14ac:dyDescent="0.25">
      <c r="A600" s="511"/>
      <c r="B600" s="560">
        <v>42599</v>
      </c>
      <c r="C600" s="511">
        <v>36</v>
      </c>
      <c r="D600" s="512">
        <v>14.95</v>
      </c>
      <c r="E600" s="513">
        <v>0</v>
      </c>
      <c r="F600" s="513">
        <f t="shared" si="151"/>
        <v>538.19999999999993</v>
      </c>
      <c r="G600" s="631"/>
      <c r="H600" s="528">
        <v>500</v>
      </c>
      <c r="I600" s="512">
        <v>16.72</v>
      </c>
      <c r="J600" s="513">
        <v>0.18</v>
      </c>
      <c r="K600" s="513">
        <f t="shared" si="152"/>
        <v>8359.82</v>
      </c>
      <c r="L600" s="511"/>
      <c r="M600" s="513"/>
    </row>
    <row r="601" spans="1:13" x14ac:dyDescent="0.25">
      <c r="A601" s="511"/>
      <c r="B601" s="560">
        <v>42599</v>
      </c>
      <c r="C601" s="511">
        <v>22</v>
      </c>
      <c r="D601" s="512">
        <v>14.95</v>
      </c>
      <c r="E601" s="513">
        <v>0</v>
      </c>
      <c r="F601" s="513">
        <f t="shared" si="151"/>
        <v>328.9</v>
      </c>
      <c r="G601" s="510">
        <v>42601</v>
      </c>
      <c r="H601" s="528">
        <v>500</v>
      </c>
      <c r="I601" s="512">
        <v>16.82</v>
      </c>
      <c r="J601" s="513">
        <v>0.18</v>
      </c>
      <c r="K601" s="513">
        <f t="shared" si="152"/>
        <v>8409.82</v>
      </c>
      <c r="L601" s="511"/>
      <c r="M601" s="513"/>
    </row>
    <row r="602" spans="1:13" x14ac:dyDescent="0.25">
      <c r="A602" s="511"/>
      <c r="B602" s="560">
        <v>42604</v>
      </c>
      <c r="C602" s="511">
        <v>1000</v>
      </c>
      <c r="D602" s="512">
        <v>15.68</v>
      </c>
      <c r="E602" s="513">
        <v>0</v>
      </c>
      <c r="F602" s="513">
        <f t="shared" si="151"/>
        <v>15680</v>
      </c>
      <c r="G602" s="510">
        <v>42605</v>
      </c>
      <c r="H602" s="528">
        <v>500</v>
      </c>
      <c r="I602" s="512">
        <v>15.98</v>
      </c>
      <c r="J602" s="513">
        <v>0.17</v>
      </c>
      <c r="K602" s="513">
        <f t="shared" si="152"/>
        <v>7989.83</v>
      </c>
      <c r="L602" s="511"/>
      <c r="M602" s="513"/>
    </row>
    <row r="603" spans="1:13" x14ac:dyDescent="0.25">
      <c r="A603" s="511"/>
      <c r="B603" s="560">
        <v>42604</v>
      </c>
      <c r="C603" s="511">
        <v>500</v>
      </c>
      <c r="D603" s="512">
        <v>15.48</v>
      </c>
      <c r="E603" s="513">
        <v>0</v>
      </c>
      <c r="F603" s="513">
        <f t="shared" si="151"/>
        <v>7740</v>
      </c>
      <c r="G603" s="510">
        <v>42605</v>
      </c>
      <c r="H603" s="528">
        <v>500</v>
      </c>
      <c r="I603" s="512">
        <v>16.25</v>
      </c>
      <c r="J603" s="513">
        <v>0.18</v>
      </c>
      <c r="K603" s="513">
        <f t="shared" si="152"/>
        <v>8124.82</v>
      </c>
      <c r="L603" s="511"/>
      <c r="M603" s="513"/>
    </row>
    <row r="604" spans="1:13" x14ac:dyDescent="0.25">
      <c r="A604" s="511"/>
      <c r="B604" s="560">
        <v>42606</v>
      </c>
      <c r="C604" s="511">
        <v>178</v>
      </c>
      <c r="D604" s="512">
        <v>16.059999999999999</v>
      </c>
      <c r="E604" s="513">
        <v>0</v>
      </c>
      <c r="F604" s="513">
        <f t="shared" si="151"/>
        <v>2858.68</v>
      </c>
      <c r="G604" s="510">
        <v>42605</v>
      </c>
      <c r="H604" s="528">
        <v>500</v>
      </c>
      <c r="I604" s="512">
        <v>16.48</v>
      </c>
      <c r="J604" s="513">
        <v>0.18</v>
      </c>
      <c r="K604" s="513">
        <f t="shared" si="152"/>
        <v>8239.82</v>
      </c>
      <c r="L604" s="511"/>
      <c r="M604" s="513"/>
    </row>
    <row r="605" spans="1:13" x14ac:dyDescent="0.25">
      <c r="A605" s="511"/>
      <c r="B605" s="560">
        <v>42608</v>
      </c>
      <c r="C605" s="511">
        <v>500</v>
      </c>
      <c r="D605" s="512">
        <v>15.98</v>
      </c>
      <c r="E605" s="513">
        <v>0</v>
      </c>
      <c r="F605" s="513">
        <f t="shared" si="151"/>
        <v>7990</v>
      </c>
      <c r="G605" s="510">
        <v>42615</v>
      </c>
      <c r="H605" s="528">
        <v>500</v>
      </c>
      <c r="I605" s="512">
        <v>15.65</v>
      </c>
      <c r="J605" s="513">
        <v>0.17</v>
      </c>
      <c r="K605" s="513">
        <f t="shared" si="152"/>
        <v>7824.83</v>
      </c>
      <c r="L605" s="511"/>
      <c r="M605" s="513"/>
    </row>
    <row r="606" spans="1:13" ht="30" x14ac:dyDescent="0.25">
      <c r="A606" s="511"/>
      <c r="B606" s="560">
        <v>42608</v>
      </c>
      <c r="C606" s="511">
        <v>500</v>
      </c>
      <c r="D606" s="512">
        <v>15.85</v>
      </c>
      <c r="E606" s="513">
        <v>0</v>
      </c>
      <c r="F606" s="513">
        <f t="shared" si="151"/>
        <v>7925</v>
      </c>
      <c r="G606" s="510">
        <v>42621</v>
      </c>
      <c r="H606" s="528">
        <v>500</v>
      </c>
      <c r="I606" s="512">
        <v>16.72</v>
      </c>
      <c r="J606" s="513">
        <v>0.18</v>
      </c>
      <c r="K606" s="513">
        <f t="shared" si="152"/>
        <v>8359.82</v>
      </c>
      <c r="L606" s="632" t="s">
        <v>272</v>
      </c>
      <c r="M606" s="513"/>
    </row>
    <row r="607" spans="1:13" x14ac:dyDescent="0.25">
      <c r="A607" s="511"/>
      <c r="B607" s="560">
        <v>42612</v>
      </c>
      <c r="C607" s="511">
        <v>500</v>
      </c>
      <c r="D607" s="512">
        <v>15.68</v>
      </c>
      <c r="E607" s="513">
        <v>0</v>
      </c>
      <c r="F607" s="513">
        <f t="shared" si="151"/>
        <v>7840</v>
      </c>
      <c r="G607" s="510">
        <v>42621</v>
      </c>
      <c r="H607" s="528">
        <v>500</v>
      </c>
      <c r="I607" s="512">
        <v>16.28</v>
      </c>
      <c r="J607" s="513">
        <v>0.18</v>
      </c>
      <c r="K607" s="513">
        <f t="shared" si="152"/>
        <v>8139.8200000000006</v>
      </c>
      <c r="L607" s="632"/>
      <c r="M607" s="513"/>
    </row>
    <row r="608" spans="1:13" x14ac:dyDescent="0.25">
      <c r="A608" s="511"/>
      <c r="B608" s="560">
        <v>42612</v>
      </c>
      <c r="C608" s="511">
        <v>500</v>
      </c>
      <c r="D608" s="512">
        <v>15.55</v>
      </c>
      <c r="E608" s="513">
        <v>0</v>
      </c>
      <c r="F608" s="513">
        <f t="shared" si="151"/>
        <v>7775</v>
      </c>
      <c r="G608" s="510">
        <v>42621</v>
      </c>
      <c r="H608" s="528">
        <v>220</v>
      </c>
      <c r="I608" s="512">
        <v>16.77</v>
      </c>
      <c r="J608" s="513">
        <v>0.08</v>
      </c>
      <c r="K608" s="513">
        <f t="shared" si="152"/>
        <v>3689.32</v>
      </c>
      <c r="L608" s="632"/>
      <c r="M608" s="513"/>
    </row>
    <row r="609" spans="1:13" x14ac:dyDescent="0.25">
      <c r="A609" s="511"/>
      <c r="B609" s="560">
        <v>42613</v>
      </c>
      <c r="C609" s="511">
        <v>500</v>
      </c>
      <c r="D609" s="512">
        <v>15.244999999999999</v>
      </c>
      <c r="E609" s="513">
        <v>0</v>
      </c>
      <c r="F609" s="513">
        <f t="shared" si="151"/>
        <v>7622.5</v>
      </c>
      <c r="G609" s="510">
        <v>42625</v>
      </c>
      <c r="H609" s="528">
        <v>500</v>
      </c>
      <c r="I609" s="512">
        <v>15.5</v>
      </c>
      <c r="J609" s="513">
        <v>0.17</v>
      </c>
      <c r="K609" s="513">
        <f t="shared" si="152"/>
        <v>7749.83</v>
      </c>
      <c r="L609" s="511"/>
      <c r="M609" s="513"/>
    </row>
    <row r="610" spans="1:13" x14ac:dyDescent="0.25">
      <c r="A610" s="511"/>
      <c r="B610" s="560">
        <v>42613</v>
      </c>
      <c r="C610" s="511">
        <v>500</v>
      </c>
      <c r="D610" s="512">
        <v>15.08</v>
      </c>
      <c r="E610" s="513">
        <v>0</v>
      </c>
      <c r="F610" s="513">
        <f t="shared" si="151"/>
        <v>7540</v>
      </c>
      <c r="G610" s="510">
        <v>42628</v>
      </c>
      <c r="H610" s="528">
        <v>300</v>
      </c>
      <c r="I610" s="512">
        <v>14.46</v>
      </c>
      <c r="J610" s="513">
        <v>0.09</v>
      </c>
      <c r="K610" s="513">
        <f t="shared" si="152"/>
        <v>4337.91</v>
      </c>
      <c r="L610" s="511"/>
      <c r="M610" s="513"/>
    </row>
    <row r="611" spans="1:13" x14ac:dyDescent="0.25">
      <c r="A611" s="511"/>
      <c r="B611" s="560">
        <v>42622</v>
      </c>
      <c r="C611" s="511">
        <v>220</v>
      </c>
      <c r="D611" s="512">
        <v>16.25</v>
      </c>
      <c r="E611" s="513">
        <v>0</v>
      </c>
      <c r="F611" s="513">
        <f t="shared" si="151"/>
        <v>3575</v>
      </c>
      <c r="G611" s="510">
        <v>42634</v>
      </c>
      <c r="H611" s="528">
        <v>322</v>
      </c>
      <c r="I611" s="512">
        <v>14.28</v>
      </c>
      <c r="J611" s="513">
        <v>0.1</v>
      </c>
      <c r="K611" s="513">
        <f t="shared" si="152"/>
        <v>4598.0599999999995</v>
      </c>
      <c r="L611" s="511"/>
      <c r="M611" s="513"/>
    </row>
    <row r="612" spans="1:13" x14ac:dyDescent="0.25">
      <c r="A612" s="511"/>
      <c r="B612" s="560">
        <v>42622</v>
      </c>
      <c r="C612" s="511">
        <v>500</v>
      </c>
      <c r="D612" s="512">
        <v>15.98</v>
      </c>
      <c r="E612" s="513">
        <v>0</v>
      </c>
      <c r="F612" s="513">
        <f t="shared" si="151"/>
        <v>7990</v>
      </c>
      <c r="G612" s="510">
        <v>42634</v>
      </c>
      <c r="H612" s="528">
        <v>400</v>
      </c>
      <c r="I612" s="512">
        <v>14.64</v>
      </c>
      <c r="J612" s="513">
        <v>0.13</v>
      </c>
      <c r="K612" s="513">
        <f t="shared" si="152"/>
        <v>5855.87</v>
      </c>
      <c r="L612" s="511"/>
      <c r="M612" s="513"/>
    </row>
    <row r="613" spans="1:13" x14ac:dyDescent="0.25">
      <c r="A613" s="511"/>
      <c r="B613" s="560">
        <v>42622</v>
      </c>
      <c r="C613" s="511">
        <v>500</v>
      </c>
      <c r="D613" s="512">
        <v>15.75</v>
      </c>
      <c r="E613" s="513">
        <v>0</v>
      </c>
      <c r="F613" s="513">
        <f t="shared" si="151"/>
        <v>7875</v>
      </c>
      <c r="G613" s="510">
        <v>42639</v>
      </c>
      <c r="H613" s="528">
        <v>200</v>
      </c>
      <c r="I613" s="512">
        <v>14.72</v>
      </c>
      <c r="J613" s="513">
        <v>0.06</v>
      </c>
      <c r="K613" s="513">
        <f t="shared" si="152"/>
        <v>2943.94</v>
      </c>
      <c r="L613" s="511"/>
      <c r="M613" s="513"/>
    </row>
    <row r="614" spans="1:13" x14ac:dyDescent="0.25">
      <c r="A614" s="511"/>
      <c r="B614" s="560">
        <v>42625</v>
      </c>
      <c r="C614" s="511">
        <v>500</v>
      </c>
      <c r="D614" s="512">
        <v>15.22</v>
      </c>
      <c r="E614" s="513">
        <v>0</v>
      </c>
      <c r="F614" s="513">
        <f t="shared" si="151"/>
        <v>7610</v>
      </c>
      <c r="G614" s="510">
        <v>42641</v>
      </c>
      <c r="H614" s="528">
        <v>300</v>
      </c>
      <c r="I614" s="512">
        <v>15.28</v>
      </c>
      <c r="J614" s="513">
        <v>0.1</v>
      </c>
      <c r="K614" s="513">
        <f t="shared" si="152"/>
        <v>4583.8999999999996</v>
      </c>
      <c r="L614" s="511"/>
      <c r="M614" s="513"/>
    </row>
    <row r="615" spans="1:13" ht="30" x14ac:dyDescent="0.25">
      <c r="A615" s="614" t="s">
        <v>282</v>
      </c>
      <c r="B615" s="560">
        <v>42626</v>
      </c>
      <c r="C615" s="511">
        <v>600</v>
      </c>
      <c r="D615" s="512">
        <v>14.91</v>
      </c>
      <c r="E615" s="513">
        <v>-3</v>
      </c>
      <c r="F615" s="513">
        <f t="shared" si="151"/>
        <v>8943</v>
      </c>
      <c r="G615" s="510">
        <v>42641</v>
      </c>
      <c r="H615" s="528">
        <v>400</v>
      </c>
      <c r="I615" s="512">
        <v>15.06</v>
      </c>
      <c r="J615" s="513">
        <v>0.13</v>
      </c>
      <c r="K615" s="513">
        <f t="shared" si="152"/>
        <v>6023.87</v>
      </c>
      <c r="L615" s="511"/>
      <c r="M615" s="513"/>
    </row>
    <row r="616" spans="1:13" x14ac:dyDescent="0.25">
      <c r="A616" s="614"/>
      <c r="B616" s="560">
        <v>42626</v>
      </c>
      <c r="C616" s="511">
        <v>400</v>
      </c>
      <c r="D616" s="512">
        <v>14.75</v>
      </c>
      <c r="E616" s="513">
        <v>0</v>
      </c>
      <c r="F616" s="513">
        <f t="shared" si="151"/>
        <v>5900</v>
      </c>
      <c r="G616" s="510">
        <v>42641</v>
      </c>
      <c r="H616" s="528">
        <v>322</v>
      </c>
      <c r="I616" s="512">
        <v>14.39</v>
      </c>
      <c r="J616" s="513">
        <v>0.1</v>
      </c>
      <c r="K616" s="513">
        <f t="shared" si="152"/>
        <v>4633.4799999999996</v>
      </c>
      <c r="L616" s="511"/>
      <c r="M616" s="513"/>
    </row>
    <row r="617" spans="1:13" x14ac:dyDescent="0.25">
      <c r="A617" s="614"/>
      <c r="B617" s="560">
        <v>42626</v>
      </c>
      <c r="C617" s="511">
        <v>300</v>
      </c>
      <c r="D617" s="512">
        <v>14.48</v>
      </c>
      <c r="E617" s="513">
        <v>0</v>
      </c>
      <c r="F617" s="513">
        <f t="shared" si="151"/>
        <v>4344</v>
      </c>
      <c r="G617" s="510">
        <v>42641</v>
      </c>
      <c r="H617" s="528">
        <v>500</v>
      </c>
      <c r="I617" s="512">
        <v>14.26</v>
      </c>
      <c r="J617" s="513">
        <v>0.16</v>
      </c>
      <c r="K617" s="513">
        <f t="shared" si="152"/>
        <v>7129.84</v>
      </c>
      <c r="L617" s="511"/>
      <c r="M617" s="513"/>
    </row>
    <row r="618" spans="1:13" x14ac:dyDescent="0.25">
      <c r="A618" s="614"/>
      <c r="B618" s="560">
        <v>42626</v>
      </c>
      <c r="C618" s="511">
        <v>300</v>
      </c>
      <c r="D618" s="512">
        <v>14.25</v>
      </c>
      <c r="E618" s="513">
        <v>0</v>
      </c>
      <c r="F618" s="513">
        <f t="shared" si="151"/>
        <v>4275</v>
      </c>
      <c r="G618" s="510">
        <v>42642</v>
      </c>
      <c r="H618" s="528">
        <v>300</v>
      </c>
      <c r="I618" s="512">
        <v>15.28</v>
      </c>
      <c r="J618" s="513">
        <v>0.1</v>
      </c>
      <c r="K618" s="513">
        <f t="shared" si="152"/>
        <v>4583.8999999999996</v>
      </c>
      <c r="L618" s="511"/>
      <c r="M618" s="513"/>
    </row>
    <row r="619" spans="1:13" x14ac:dyDescent="0.25">
      <c r="A619" s="614"/>
      <c r="B619" s="560">
        <v>42627</v>
      </c>
      <c r="C619" s="511">
        <v>200</v>
      </c>
      <c r="D619" s="512">
        <v>14.02</v>
      </c>
      <c r="E619" s="513">
        <v>-1</v>
      </c>
      <c r="F619" s="513">
        <f t="shared" si="151"/>
        <v>2803</v>
      </c>
      <c r="G619" s="510">
        <v>42642</v>
      </c>
      <c r="H619" s="528">
        <v>700</v>
      </c>
      <c r="I619" s="512">
        <v>15.78</v>
      </c>
      <c r="J619" s="513">
        <v>0.24</v>
      </c>
      <c r="K619" s="513">
        <f t="shared" si="152"/>
        <v>11045.76</v>
      </c>
      <c r="L619" s="511"/>
      <c r="M619" s="513"/>
    </row>
    <row r="620" spans="1:13" x14ac:dyDescent="0.25">
      <c r="A620" s="511"/>
      <c r="B620" s="560">
        <v>42628</v>
      </c>
      <c r="C620" s="511">
        <v>300</v>
      </c>
      <c r="D620" s="512">
        <v>14.3</v>
      </c>
      <c r="E620" s="513">
        <v>0</v>
      </c>
      <c r="F620" s="513">
        <f t="shared" si="151"/>
        <v>4290</v>
      </c>
      <c r="G620" s="510">
        <v>42642</v>
      </c>
      <c r="H620" s="528">
        <v>214</v>
      </c>
      <c r="I620" s="512">
        <v>15.98</v>
      </c>
      <c r="J620" s="513">
        <v>7.0000000000000007E-2</v>
      </c>
      <c r="K620" s="513">
        <f t="shared" si="152"/>
        <v>3419.65</v>
      </c>
      <c r="L620" s="511"/>
      <c r="M620" s="513"/>
    </row>
    <row r="621" spans="1:13" x14ac:dyDescent="0.25">
      <c r="A621" s="511"/>
      <c r="B621" s="560">
        <v>42632</v>
      </c>
      <c r="C621" s="511">
        <v>200</v>
      </c>
      <c r="D621" s="512">
        <v>14.06</v>
      </c>
      <c r="E621" s="513">
        <v>0</v>
      </c>
      <c r="F621" s="513">
        <f t="shared" si="151"/>
        <v>2812</v>
      </c>
      <c r="G621" s="510">
        <v>42648</v>
      </c>
      <c r="H621" s="528">
        <v>1000</v>
      </c>
      <c r="I621" s="512">
        <v>16.079999999999998</v>
      </c>
      <c r="J621" s="513">
        <v>0.35</v>
      </c>
      <c r="K621" s="513">
        <f t="shared" si="152"/>
        <v>16079.649999999998</v>
      </c>
      <c r="L621" s="511"/>
      <c r="M621" s="513"/>
    </row>
    <row r="622" spans="1:13" x14ac:dyDescent="0.25">
      <c r="A622" s="511"/>
      <c r="B622" s="560">
        <v>42633</v>
      </c>
      <c r="C622" s="511">
        <v>200</v>
      </c>
      <c r="D622" s="512">
        <v>14.11</v>
      </c>
      <c r="E622" s="513">
        <v>0</v>
      </c>
      <c r="F622" s="513">
        <f t="shared" si="151"/>
        <v>2822</v>
      </c>
      <c r="G622" s="510">
        <v>42648</v>
      </c>
      <c r="H622" s="528">
        <v>500</v>
      </c>
      <c r="I622" s="512">
        <v>16.38</v>
      </c>
      <c r="J622" s="513">
        <v>0.18</v>
      </c>
      <c r="K622" s="513">
        <f t="shared" si="152"/>
        <v>8189.8199999999988</v>
      </c>
      <c r="L622" s="511"/>
      <c r="M622" s="513"/>
    </row>
    <row r="623" spans="1:13" x14ac:dyDescent="0.25">
      <c r="A623" s="511"/>
      <c r="B623" s="560">
        <v>42633</v>
      </c>
      <c r="C623" s="511">
        <v>122</v>
      </c>
      <c r="D623" s="512">
        <v>14.1</v>
      </c>
      <c r="E623" s="513">
        <v>0</v>
      </c>
      <c r="F623" s="513">
        <f t="shared" si="151"/>
        <v>1720.2</v>
      </c>
      <c r="G623" s="510">
        <v>42649</v>
      </c>
      <c r="H623" s="528">
        <v>500</v>
      </c>
      <c r="I623" s="512">
        <v>16.16</v>
      </c>
      <c r="J623" s="513">
        <v>0.18</v>
      </c>
      <c r="K623" s="513">
        <f t="shared" si="152"/>
        <v>8079.82</v>
      </c>
      <c r="L623" s="511"/>
      <c r="M623" s="513"/>
    </row>
    <row r="624" spans="1:13" x14ac:dyDescent="0.25">
      <c r="A624" s="511"/>
      <c r="B624" s="560">
        <v>42636</v>
      </c>
      <c r="C624" s="511">
        <v>200</v>
      </c>
      <c r="D624" s="512">
        <v>14.38</v>
      </c>
      <c r="E624" s="513">
        <v>0</v>
      </c>
      <c r="F624" s="513">
        <f t="shared" si="151"/>
        <v>2876</v>
      </c>
      <c r="G624" s="510">
        <v>42671</v>
      </c>
      <c r="H624" s="528">
        <v>1000</v>
      </c>
      <c r="I624" s="512">
        <v>14.22</v>
      </c>
      <c r="J624" s="513">
        <v>0.31</v>
      </c>
      <c r="K624" s="513">
        <f t="shared" si="152"/>
        <v>14219.69</v>
      </c>
      <c r="L624" s="511"/>
      <c r="M624" s="513"/>
    </row>
    <row r="625" spans="1:13" x14ac:dyDescent="0.25">
      <c r="A625" s="511"/>
      <c r="B625" s="560">
        <v>42639</v>
      </c>
      <c r="C625" s="511">
        <v>200</v>
      </c>
      <c r="D625" s="512">
        <v>14.5</v>
      </c>
      <c r="E625" s="513">
        <v>0</v>
      </c>
      <c r="F625" s="513">
        <f t="shared" ref="F625:F639" si="153">C625*D625+E625</f>
        <v>2900</v>
      </c>
      <c r="G625" s="510">
        <v>42674</v>
      </c>
      <c r="H625" s="528">
        <v>300</v>
      </c>
      <c r="I625" s="512">
        <v>13.42</v>
      </c>
      <c r="J625" s="513">
        <v>0.09</v>
      </c>
      <c r="K625" s="513">
        <f t="shared" si="152"/>
        <v>4025.91</v>
      </c>
      <c r="L625" s="511"/>
      <c r="M625" s="513"/>
    </row>
    <row r="626" spans="1:13" x14ac:dyDescent="0.25">
      <c r="A626" s="511"/>
      <c r="B626" s="560">
        <v>42639</v>
      </c>
      <c r="C626" s="511">
        <v>200</v>
      </c>
      <c r="D626" s="512">
        <v>14.38</v>
      </c>
      <c r="E626" s="513">
        <v>0</v>
      </c>
      <c r="F626" s="513">
        <f t="shared" si="153"/>
        <v>2876</v>
      </c>
      <c r="G626" s="510">
        <v>42674</v>
      </c>
      <c r="H626" s="528">
        <v>200</v>
      </c>
      <c r="I626" s="512">
        <v>13.25</v>
      </c>
      <c r="J626" s="513">
        <v>-0.74</v>
      </c>
      <c r="K626" s="513">
        <f t="shared" si="152"/>
        <v>2650.74</v>
      </c>
      <c r="L626" s="511"/>
      <c r="M626" s="513"/>
    </row>
    <row r="627" spans="1:13" x14ac:dyDescent="0.25">
      <c r="A627" s="511"/>
      <c r="B627" s="560">
        <v>42640</v>
      </c>
      <c r="C627" s="511">
        <v>322</v>
      </c>
      <c r="D627" s="512">
        <v>13.97</v>
      </c>
      <c r="E627" s="513">
        <v>0</v>
      </c>
      <c r="F627" s="513">
        <f t="shared" si="153"/>
        <v>4498.34</v>
      </c>
      <c r="G627" s="510">
        <v>42676</v>
      </c>
      <c r="H627" s="528">
        <v>200</v>
      </c>
      <c r="I627" s="512">
        <v>13.05</v>
      </c>
      <c r="J627" s="513">
        <v>0.06</v>
      </c>
      <c r="K627" s="513">
        <f t="shared" si="152"/>
        <v>2609.94</v>
      </c>
      <c r="L627" s="511"/>
      <c r="M627" s="513"/>
    </row>
    <row r="628" spans="1:13" x14ac:dyDescent="0.25">
      <c r="A628" s="511"/>
      <c r="B628" s="560">
        <v>42641</v>
      </c>
      <c r="C628" s="511">
        <v>300</v>
      </c>
      <c r="D628" s="512">
        <v>14.02</v>
      </c>
      <c r="E628" s="513">
        <v>-1.26</v>
      </c>
      <c r="F628" s="513">
        <f t="shared" si="153"/>
        <v>4204.74</v>
      </c>
      <c r="G628" s="510">
        <v>42677</v>
      </c>
      <c r="H628" s="528">
        <v>500</v>
      </c>
      <c r="I628" s="512">
        <v>13.96</v>
      </c>
      <c r="J628" s="513">
        <v>0.15</v>
      </c>
      <c r="K628" s="513">
        <f t="shared" si="152"/>
        <v>6979.85</v>
      </c>
      <c r="L628" s="511"/>
      <c r="M628" s="513"/>
    </row>
    <row r="629" spans="1:13" x14ac:dyDescent="0.25">
      <c r="A629" s="511"/>
      <c r="B629" s="560">
        <v>42641</v>
      </c>
      <c r="C629" s="511">
        <v>200</v>
      </c>
      <c r="D629" s="512">
        <v>14.17</v>
      </c>
      <c r="E629" s="513">
        <v>0</v>
      </c>
      <c r="F629" s="513">
        <f t="shared" si="153"/>
        <v>2834</v>
      </c>
      <c r="G629" s="510">
        <v>42677</v>
      </c>
      <c r="H629" s="528">
        <v>2000</v>
      </c>
      <c r="I629" s="512">
        <v>14.5</v>
      </c>
      <c r="J629" s="513">
        <v>0.63</v>
      </c>
      <c r="K629" s="513">
        <f t="shared" si="152"/>
        <v>28999.37</v>
      </c>
      <c r="L629" s="511"/>
      <c r="M629" s="513"/>
    </row>
    <row r="630" spans="1:13" x14ac:dyDescent="0.25">
      <c r="A630" s="511"/>
      <c r="B630" s="560">
        <v>42642</v>
      </c>
      <c r="C630" s="511">
        <v>414</v>
      </c>
      <c r="D630" s="512">
        <v>15.66</v>
      </c>
      <c r="E630" s="513">
        <v>0</v>
      </c>
      <c r="F630" s="513">
        <f t="shared" si="153"/>
        <v>6483.24</v>
      </c>
      <c r="G630" s="510">
        <v>42682</v>
      </c>
      <c r="H630" s="528">
        <v>1000</v>
      </c>
      <c r="I630" s="512">
        <v>14.28</v>
      </c>
      <c r="J630" s="513">
        <v>0.31</v>
      </c>
      <c r="K630" s="513">
        <f t="shared" si="152"/>
        <v>14279.69</v>
      </c>
      <c r="L630" s="511"/>
      <c r="M630" s="513"/>
    </row>
    <row r="631" spans="1:13" ht="30" x14ac:dyDescent="0.25">
      <c r="A631" s="614" t="s">
        <v>298</v>
      </c>
      <c r="B631" s="560">
        <v>42647</v>
      </c>
      <c r="C631" s="511">
        <v>500</v>
      </c>
      <c r="D631" s="512">
        <v>15.86</v>
      </c>
      <c r="E631" s="513">
        <v>0</v>
      </c>
      <c r="F631" s="513">
        <f t="shared" si="153"/>
        <v>7930</v>
      </c>
      <c r="G631" s="510">
        <v>42685</v>
      </c>
      <c r="H631" s="528">
        <v>500</v>
      </c>
      <c r="I631" s="512">
        <v>15.88</v>
      </c>
      <c r="J631" s="513">
        <v>0.17</v>
      </c>
      <c r="K631" s="513">
        <f t="shared" si="152"/>
        <v>7939.83</v>
      </c>
      <c r="L631" s="511"/>
      <c r="M631" s="513"/>
    </row>
    <row r="632" spans="1:13" x14ac:dyDescent="0.25">
      <c r="A632" s="614"/>
      <c r="B632" s="560">
        <v>42647</v>
      </c>
      <c r="C632" s="511">
        <v>500</v>
      </c>
      <c r="D632" s="512">
        <v>15.62</v>
      </c>
      <c r="E632" s="513">
        <v>0</v>
      </c>
      <c r="F632" s="513">
        <f t="shared" si="153"/>
        <v>7810</v>
      </c>
      <c r="G632" s="510">
        <v>42695</v>
      </c>
      <c r="H632" s="528">
        <v>2272</v>
      </c>
      <c r="I632" s="512">
        <v>16.28</v>
      </c>
      <c r="J632" s="513">
        <v>0.81</v>
      </c>
      <c r="K632" s="513">
        <f t="shared" si="152"/>
        <v>36987.350000000006</v>
      </c>
      <c r="L632" s="511"/>
      <c r="M632" s="513"/>
    </row>
    <row r="633" spans="1:13" x14ac:dyDescent="0.25">
      <c r="A633" s="614"/>
      <c r="B633" s="560">
        <v>42649</v>
      </c>
      <c r="C633" s="511">
        <v>500</v>
      </c>
      <c r="D633" s="512">
        <v>15.97</v>
      </c>
      <c r="E633" s="513">
        <v>0</v>
      </c>
      <c r="F633" s="513">
        <f t="shared" si="153"/>
        <v>7985</v>
      </c>
      <c r="G633" s="510">
        <v>42695</v>
      </c>
      <c r="H633" s="528">
        <v>500</v>
      </c>
      <c r="I633" s="512">
        <v>16.45</v>
      </c>
      <c r="J633" s="513">
        <v>0.18</v>
      </c>
      <c r="K633" s="513">
        <f t="shared" si="152"/>
        <v>8224.82</v>
      </c>
      <c r="L633" s="511"/>
      <c r="M633" s="513"/>
    </row>
    <row r="634" spans="1:13" x14ac:dyDescent="0.25">
      <c r="A634" s="614"/>
      <c r="B634" s="560">
        <v>42649</v>
      </c>
      <c r="C634" s="511">
        <v>500</v>
      </c>
      <c r="D634" s="512">
        <v>15.84</v>
      </c>
      <c r="E634" s="513">
        <v>0</v>
      </c>
      <c r="F634" s="513">
        <f t="shared" si="153"/>
        <v>7920</v>
      </c>
      <c r="G634" s="510">
        <v>42696</v>
      </c>
      <c r="H634" s="528">
        <v>500</v>
      </c>
      <c r="I634" s="512">
        <v>16.54</v>
      </c>
      <c r="J634" s="513">
        <v>0.18</v>
      </c>
      <c r="K634" s="513">
        <f t="shared" si="152"/>
        <v>8269.82</v>
      </c>
      <c r="L634" s="511"/>
      <c r="M634" s="513"/>
    </row>
    <row r="635" spans="1:13" x14ac:dyDescent="0.25">
      <c r="A635" s="511"/>
      <c r="B635" s="560">
        <v>42649</v>
      </c>
      <c r="C635" s="511">
        <v>500</v>
      </c>
      <c r="D635" s="512">
        <v>16.079999999999998</v>
      </c>
      <c r="E635" s="513">
        <v>0</v>
      </c>
      <c r="F635" s="513">
        <f t="shared" si="153"/>
        <v>8039.9999999999991</v>
      </c>
      <c r="G635" s="510">
        <v>42697</v>
      </c>
      <c r="H635" s="528">
        <v>200</v>
      </c>
      <c r="I635" s="512">
        <v>16.79</v>
      </c>
      <c r="J635" s="513">
        <v>7.0000000000000007E-2</v>
      </c>
      <c r="K635" s="513">
        <f t="shared" si="152"/>
        <v>3357.93</v>
      </c>
      <c r="L635" s="511"/>
      <c r="M635" s="513"/>
    </row>
    <row r="636" spans="1:13" x14ac:dyDescent="0.25">
      <c r="A636" s="511"/>
      <c r="B636" s="560">
        <v>42650</v>
      </c>
      <c r="C636" s="511">
        <v>300</v>
      </c>
      <c r="D636" s="512">
        <v>15.75</v>
      </c>
      <c r="E636" s="513">
        <v>0</v>
      </c>
      <c r="F636" s="513">
        <f t="shared" si="153"/>
        <v>4725</v>
      </c>
      <c r="G636" s="510">
        <v>42697</v>
      </c>
      <c r="H636" s="528">
        <v>500</v>
      </c>
      <c r="I636" s="512">
        <v>16.59</v>
      </c>
      <c r="J636" s="513">
        <v>0.18</v>
      </c>
      <c r="K636" s="513">
        <f t="shared" si="152"/>
        <v>8294.82</v>
      </c>
      <c r="L636" s="511"/>
      <c r="M636" s="513"/>
    </row>
    <row r="637" spans="1:13" x14ac:dyDescent="0.25">
      <c r="A637" s="511"/>
      <c r="B637" s="560">
        <v>42650</v>
      </c>
      <c r="C637" s="511">
        <v>300</v>
      </c>
      <c r="D637" s="512">
        <v>15.58</v>
      </c>
      <c r="E637" s="513">
        <v>0</v>
      </c>
      <c r="F637" s="513">
        <f t="shared" si="153"/>
        <v>4674</v>
      </c>
      <c r="G637" s="510">
        <v>42704</v>
      </c>
      <c r="H637" s="528">
        <v>1000</v>
      </c>
      <c r="I637" s="512">
        <v>16.420000000000002</v>
      </c>
      <c r="J637" s="513">
        <v>0.36</v>
      </c>
      <c r="K637" s="513">
        <f t="shared" si="152"/>
        <v>16419.64</v>
      </c>
      <c r="L637" s="511"/>
      <c r="M637" s="513"/>
    </row>
    <row r="638" spans="1:13" x14ac:dyDescent="0.25">
      <c r="A638" s="511"/>
      <c r="B638" s="560">
        <v>42653</v>
      </c>
      <c r="C638" s="511">
        <v>394</v>
      </c>
      <c r="D638" s="512">
        <v>15.72</v>
      </c>
      <c r="E638" s="513">
        <v>0</v>
      </c>
      <c r="F638" s="513">
        <f t="shared" si="153"/>
        <v>6193.68</v>
      </c>
      <c r="G638" s="510">
        <v>42704</v>
      </c>
      <c r="H638" s="528">
        <v>300</v>
      </c>
      <c r="I638" s="512">
        <v>16.78</v>
      </c>
      <c r="J638" s="513">
        <v>1.61</v>
      </c>
      <c r="K638" s="513">
        <f t="shared" si="152"/>
        <v>5032.3900000000003</v>
      </c>
      <c r="L638" s="511"/>
      <c r="M638" s="513"/>
    </row>
    <row r="639" spans="1:13" x14ac:dyDescent="0.25">
      <c r="A639" s="511"/>
      <c r="B639" s="560">
        <v>42653</v>
      </c>
      <c r="C639" s="511">
        <v>6</v>
      </c>
      <c r="D639" s="512">
        <v>15.72</v>
      </c>
      <c r="E639" s="513">
        <v>0</v>
      </c>
      <c r="F639" s="513">
        <f t="shared" si="153"/>
        <v>94.320000000000007</v>
      </c>
      <c r="G639" s="510">
        <v>42704</v>
      </c>
      <c r="H639" s="528">
        <v>1000</v>
      </c>
      <c r="I639" s="512">
        <v>17.079999999999998</v>
      </c>
      <c r="J639" s="513">
        <v>0.37</v>
      </c>
      <c r="K639" s="513">
        <f t="shared" si="152"/>
        <v>17079.63</v>
      </c>
      <c r="L639" s="511"/>
      <c r="M639" s="513"/>
    </row>
    <row r="640" spans="1:13" x14ac:dyDescent="0.25">
      <c r="A640" s="511"/>
      <c r="B640" s="560">
        <v>42655</v>
      </c>
      <c r="C640" s="511">
        <v>22</v>
      </c>
      <c r="D640" s="512">
        <v>15.48</v>
      </c>
      <c r="E640" s="513">
        <v>0</v>
      </c>
      <c r="F640" s="513">
        <f>C640*D640+E640</f>
        <v>340.56</v>
      </c>
      <c r="G640" s="510">
        <v>42704</v>
      </c>
      <c r="H640" s="528">
        <v>1000</v>
      </c>
      <c r="I640" s="512">
        <v>17.32</v>
      </c>
      <c r="J640" s="513">
        <v>0.38</v>
      </c>
      <c r="K640" s="513">
        <f t="shared" si="152"/>
        <v>17319.62</v>
      </c>
      <c r="L640" s="511"/>
      <c r="M640" s="513"/>
    </row>
    <row r="641" spans="1:13" x14ac:dyDescent="0.25">
      <c r="A641" s="511"/>
      <c r="B641" s="560">
        <v>42655</v>
      </c>
      <c r="C641" s="511">
        <v>300</v>
      </c>
      <c r="D641" s="512">
        <v>15.48</v>
      </c>
      <c r="E641" s="513">
        <v>0</v>
      </c>
      <c r="F641" s="513">
        <f>C641*D641+E641</f>
        <v>4644</v>
      </c>
      <c r="G641" s="510">
        <v>42704</v>
      </c>
      <c r="H641" s="528">
        <v>500</v>
      </c>
      <c r="I641" s="512">
        <v>17.64</v>
      </c>
      <c r="J641" s="513">
        <v>0.19</v>
      </c>
      <c r="K641" s="513">
        <f t="shared" si="152"/>
        <v>8819.81</v>
      </c>
      <c r="L641" s="511"/>
      <c r="M641" s="513"/>
    </row>
    <row r="642" spans="1:13" x14ac:dyDescent="0.25">
      <c r="A642" s="615"/>
      <c r="B642" s="560">
        <v>42668</v>
      </c>
      <c r="C642" s="511">
        <v>500</v>
      </c>
      <c r="D642" s="512">
        <v>14.26</v>
      </c>
      <c r="E642" s="513">
        <v>-2.5</v>
      </c>
      <c r="F642" s="513">
        <f t="shared" ref="F642:F651" si="154">C642*D642+E642</f>
        <v>7127.5</v>
      </c>
      <c r="G642" s="510">
        <v>42705</v>
      </c>
      <c r="H642" s="528">
        <v>528</v>
      </c>
      <c r="I642" s="512">
        <v>18.7</v>
      </c>
      <c r="J642" s="513">
        <v>0.22</v>
      </c>
      <c r="K642" s="513">
        <f t="shared" si="152"/>
        <v>9873.380000000001</v>
      </c>
      <c r="L642" s="511"/>
      <c r="M642" s="513"/>
    </row>
    <row r="643" spans="1:13" x14ac:dyDescent="0.25">
      <c r="A643" s="615"/>
      <c r="B643" s="560">
        <v>42668</v>
      </c>
      <c r="C643" s="511">
        <v>500</v>
      </c>
      <c r="D643" s="512">
        <v>14.16</v>
      </c>
      <c r="E643" s="513">
        <v>0</v>
      </c>
      <c r="F643" s="513">
        <f t="shared" si="154"/>
        <v>7080</v>
      </c>
      <c r="G643" s="510">
        <v>42711</v>
      </c>
      <c r="H643" s="528">
        <v>500</v>
      </c>
      <c r="I643" s="512">
        <v>18.329999999999998</v>
      </c>
      <c r="J643" s="513">
        <v>0.2</v>
      </c>
      <c r="K643" s="513">
        <f t="shared" si="152"/>
        <v>9164.7999999999993</v>
      </c>
      <c r="L643" s="511"/>
      <c r="M643" s="513"/>
    </row>
    <row r="644" spans="1:13" x14ac:dyDescent="0.25">
      <c r="A644" s="615"/>
      <c r="B644" s="560">
        <v>42670</v>
      </c>
      <c r="C644" s="511">
        <v>500</v>
      </c>
      <c r="D644" s="512">
        <v>14.18</v>
      </c>
      <c r="E644" s="513">
        <v>0</v>
      </c>
      <c r="F644" s="513">
        <f t="shared" si="154"/>
        <v>7090</v>
      </c>
      <c r="G644" s="510">
        <v>42713</v>
      </c>
      <c r="H644" s="528">
        <v>500</v>
      </c>
      <c r="I644" s="512">
        <v>18.28</v>
      </c>
      <c r="J644" s="513">
        <v>0.2</v>
      </c>
      <c r="K644" s="513">
        <f t="shared" si="152"/>
        <v>9139.7999999999993</v>
      </c>
      <c r="L644" s="511"/>
      <c r="M644" s="513"/>
    </row>
    <row r="645" spans="1:13" x14ac:dyDescent="0.25">
      <c r="A645" s="615"/>
      <c r="B645" s="560">
        <v>42670</v>
      </c>
      <c r="C645" s="511">
        <v>500</v>
      </c>
      <c r="D645" s="512">
        <v>14.05</v>
      </c>
      <c r="E645" s="513">
        <v>0</v>
      </c>
      <c r="F645" s="513">
        <f t="shared" si="154"/>
        <v>7025</v>
      </c>
      <c r="G645" s="510">
        <v>42718</v>
      </c>
      <c r="H645" s="528">
        <v>200</v>
      </c>
      <c r="I645" s="512">
        <v>18.78</v>
      </c>
      <c r="J645" s="513">
        <v>0.08</v>
      </c>
      <c r="K645" s="513">
        <f t="shared" si="152"/>
        <v>3755.92</v>
      </c>
      <c r="L645" s="511"/>
      <c r="M645" s="513"/>
    </row>
    <row r="646" spans="1:13" x14ac:dyDescent="0.25">
      <c r="A646" s="615"/>
      <c r="B646" s="560">
        <v>42670</v>
      </c>
      <c r="C646" s="511">
        <v>500</v>
      </c>
      <c r="D646" s="512">
        <v>13.88</v>
      </c>
      <c r="E646" s="513">
        <v>0</v>
      </c>
      <c r="F646" s="513">
        <f t="shared" si="154"/>
        <v>6940</v>
      </c>
      <c r="G646" s="510">
        <v>42734</v>
      </c>
      <c r="H646" s="528">
        <v>1000</v>
      </c>
      <c r="I646" s="512">
        <v>17.72</v>
      </c>
      <c r="J646" s="513">
        <v>0.39</v>
      </c>
      <c r="K646" s="513">
        <f t="shared" si="152"/>
        <v>17719.61</v>
      </c>
      <c r="L646" s="511"/>
      <c r="M646" s="513"/>
    </row>
    <row r="647" spans="1:13" x14ac:dyDescent="0.25">
      <c r="A647" s="511"/>
      <c r="B647" s="560">
        <v>42671</v>
      </c>
      <c r="C647" s="511">
        <v>1000</v>
      </c>
      <c r="D647" s="512">
        <v>14.15</v>
      </c>
      <c r="E647" s="513">
        <v>0</v>
      </c>
      <c r="F647" s="513">
        <f t="shared" si="154"/>
        <v>14150</v>
      </c>
      <c r="G647" s="510">
        <v>42739</v>
      </c>
      <c r="H647" s="528">
        <v>500</v>
      </c>
      <c r="I647" s="512">
        <v>18.079999999999998</v>
      </c>
      <c r="J647" s="513">
        <v>0.2</v>
      </c>
      <c r="K647" s="513">
        <f t="shared" si="152"/>
        <v>9039.7999999999993</v>
      </c>
      <c r="L647" s="511"/>
      <c r="M647" s="513"/>
    </row>
    <row r="648" spans="1:13" x14ac:dyDescent="0.25">
      <c r="A648" s="511"/>
      <c r="B648" s="560">
        <v>42674</v>
      </c>
      <c r="C648" s="511">
        <v>300</v>
      </c>
      <c r="D648" s="512">
        <v>13.28</v>
      </c>
      <c r="E648" s="513">
        <v>-1.5</v>
      </c>
      <c r="F648" s="513">
        <f t="shared" si="154"/>
        <v>3982.5</v>
      </c>
      <c r="G648" s="510">
        <v>42748</v>
      </c>
      <c r="H648" s="528">
        <v>500</v>
      </c>
      <c r="I648" s="512">
        <v>17.48</v>
      </c>
      <c r="J648" s="513">
        <v>0.19</v>
      </c>
      <c r="K648" s="513">
        <f t="shared" si="152"/>
        <v>8739.81</v>
      </c>
      <c r="L648" s="511"/>
      <c r="M648" s="513"/>
    </row>
    <row r="649" spans="1:13" x14ac:dyDescent="0.25">
      <c r="A649" s="511"/>
      <c r="B649" s="560">
        <v>42674</v>
      </c>
      <c r="C649" s="511">
        <v>200</v>
      </c>
      <c r="D649" s="512">
        <v>13.15</v>
      </c>
      <c r="E649" s="513">
        <v>0.02</v>
      </c>
      <c r="F649" s="513">
        <f t="shared" si="154"/>
        <v>2630.02</v>
      </c>
      <c r="G649" s="510">
        <v>42761</v>
      </c>
      <c r="H649" s="528">
        <v>1000</v>
      </c>
      <c r="I649" s="512">
        <v>17.899999999999999</v>
      </c>
      <c r="J649" s="513">
        <v>0.39</v>
      </c>
      <c r="K649" s="513">
        <f t="shared" si="152"/>
        <v>17899.61</v>
      </c>
      <c r="L649" s="511"/>
      <c r="M649" s="513"/>
    </row>
    <row r="650" spans="1:13" x14ac:dyDescent="0.25">
      <c r="A650" s="511"/>
      <c r="B650" s="560">
        <v>42676</v>
      </c>
      <c r="C650" s="511">
        <v>200</v>
      </c>
      <c r="D650" s="512">
        <v>12.89</v>
      </c>
      <c r="E650" s="513">
        <v>0</v>
      </c>
      <c r="F650" s="513">
        <f t="shared" si="154"/>
        <v>2578</v>
      </c>
      <c r="G650" s="510">
        <v>42766</v>
      </c>
      <c r="H650" s="528">
        <v>300</v>
      </c>
      <c r="I650" s="512">
        <v>16.649999999999999</v>
      </c>
      <c r="J650" s="513">
        <v>0.11</v>
      </c>
      <c r="K650" s="513">
        <f t="shared" si="152"/>
        <v>4994.8900000000003</v>
      </c>
      <c r="L650" s="511"/>
      <c r="M650" s="513"/>
    </row>
    <row r="651" spans="1:13" x14ac:dyDescent="0.25">
      <c r="A651" s="511"/>
      <c r="B651" s="560">
        <v>42678</v>
      </c>
      <c r="C651" s="511">
        <v>500</v>
      </c>
      <c r="D651" s="512">
        <v>13.69</v>
      </c>
      <c r="E651" s="513">
        <v>0</v>
      </c>
      <c r="F651" s="513">
        <f t="shared" si="154"/>
        <v>6845</v>
      </c>
      <c r="G651" s="510">
        <v>42767</v>
      </c>
      <c r="H651" s="528">
        <v>612</v>
      </c>
      <c r="I651" s="512">
        <v>17.03</v>
      </c>
      <c r="J651" s="513">
        <v>0.23</v>
      </c>
      <c r="K651" s="513">
        <f t="shared" si="152"/>
        <v>10422.130000000001</v>
      </c>
      <c r="L651" s="511"/>
      <c r="M651" s="513"/>
    </row>
    <row r="652" spans="1:13" x14ac:dyDescent="0.25">
      <c r="A652" s="511"/>
      <c r="B652" s="560">
        <v>42678</v>
      </c>
      <c r="C652" s="511">
        <v>500</v>
      </c>
      <c r="D652" s="512">
        <v>13.69</v>
      </c>
      <c r="E652" s="513">
        <v>0</v>
      </c>
      <c r="F652" s="513">
        <f>C652*D652+E652</f>
        <v>6845</v>
      </c>
      <c r="G652" s="510">
        <v>42767</v>
      </c>
      <c r="H652" s="528">
        <v>288</v>
      </c>
      <c r="I652" s="512">
        <v>17.12</v>
      </c>
      <c r="J652" s="513">
        <v>0.11</v>
      </c>
      <c r="K652" s="513">
        <f t="shared" si="152"/>
        <v>4930.4500000000007</v>
      </c>
      <c r="L652" s="511"/>
      <c r="M652" s="513"/>
    </row>
    <row r="653" spans="1:13" x14ac:dyDescent="0.25">
      <c r="A653" s="511"/>
      <c r="B653" s="560">
        <v>42691</v>
      </c>
      <c r="C653" s="511">
        <v>150</v>
      </c>
      <c r="D653" s="512">
        <v>15.48</v>
      </c>
      <c r="E653" s="513">
        <v>0</v>
      </c>
      <c r="F653" s="513">
        <f t="shared" ref="F653:F669" si="155">C653*D653+E653</f>
        <v>2322</v>
      </c>
      <c r="G653" s="510">
        <v>42767</v>
      </c>
      <c r="H653" s="528">
        <v>700</v>
      </c>
      <c r="I653" s="512">
        <v>16.57</v>
      </c>
      <c r="J653" s="513">
        <v>0.25</v>
      </c>
      <c r="K653" s="513">
        <f t="shared" si="152"/>
        <v>11598.75</v>
      </c>
      <c r="L653" s="511"/>
      <c r="M653" s="513"/>
    </row>
    <row r="654" spans="1:13" x14ac:dyDescent="0.25">
      <c r="A654" s="511"/>
      <c r="B654" s="560">
        <v>42691</v>
      </c>
      <c r="C654" s="511">
        <v>300</v>
      </c>
      <c r="D654" s="512">
        <v>15.48</v>
      </c>
      <c r="E654" s="513">
        <v>0</v>
      </c>
      <c r="F654" s="513">
        <f t="shared" si="155"/>
        <v>4644</v>
      </c>
      <c r="G654" s="510">
        <v>42768</v>
      </c>
      <c r="H654" s="528">
        <v>200</v>
      </c>
      <c r="I654" s="512">
        <v>16.7</v>
      </c>
      <c r="J654" s="513">
        <v>7.0000000000000007E-2</v>
      </c>
      <c r="K654" s="513">
        <f t="shared" si="152"/>
        <v>3339.93</v>
      </c>
      <c r="L654" s="511"/>
      <c r="M654" s="513"/>
    </row>
    <row r="655" spans="1:13" x14ac:dyDescent="0.25">
      <c r="A655" s="511"/>
      <c r="B655" s="560">
        <v>42696</v>
      </c>
      <c r="C655" s="511">
        <v>1000</v>
      </c>
      <c r="D655" s="512">
        <v>16.12</v>
      </c>
      <c r="E655" s="513">
        <v>0</v>
      </c>
      <c r="F655" s="513">
        <f t="shared" si="155"/>
        <v>16120.000000000002</v>
      </c>
      <c r="G655" s="510">
        <v>42768</v>
      </c>
      <c r="H655" s="528">
        <v>500</v>
      </c>
      <c r="I655" s="512">
        <v>16.600000000000001</v>
      </c>
      <c r="J655" s="513">
        <v>-1.82</v>
      </c>
      <c r="K655" s="513">
        <f t="shared" si="152"/>
        <v>8301.82</v>
      </c>
      <c r="L655" s="511"/>
      <c r="M655" s="513"/>
    </row>
    <row r="656" spans="1:13" x14ac:dyDescent="0.25">
      <c r="A656" s="511"/>
      <c r="B656" s="560">
        <v>42699</v>
      </c>
      <c r="C656" s="511">
        <v>200</v>
      </c>
      <c r="D656" s="512">
        <v>16.28</v>
      </c>
      <c r="E656" s="513">
        <v>0</v>
      </c>
      <c r="F656" s="513">
        <f t="shared" si="155"/>
        <v>3256</v>
      </c>
      <c r="G656" s="510">
        <v>42768</v>
      </c>
      <c r="H656" s="528">
        <v>500</v>
      </c>
      <c r="I656" s="512">
        <v>16.75</v>
      </c>
      <c r="J656" s="513">
        <v>0.18</v>
      </c>
      <c r="K656" s="513">
        <f t="shared" si="152"/>
        <v>8374.82</v>
      </c>
      <c r="L656" s="511"/>
      <c r="M656" s="513"/>
    </row>
    <row r="657" spans="1:13" x14ac:dyDescent="0.25">
      <c r="A657" s="615"/>
      <c r="B657" s="560">
        <v>42699</v>
      </c>
      <c r="C657" s="511">
        <v>500</v>
      </c>
      <c r="D657" s="512">
        <v>16.16</v>
      </c>
      <c r="E657" s="513">
        <v>0</v>
      </c>
      <c r="F657" s="513">
        <f t="shared" si="155"/>
        <v>8080</v>
      </c>
      <c r="G657" s="510">
        <v>42769</v>
      </c>
      <c r="H657" s="616">
        <v>400</v>
      </c>
      <c r="I657" s="617">
        <v>16.95</v>
      </c>
      <c r="J657" s="618">
        <v>0.15</v>
      </c>
      <c r="K657" s="618">
        <f t="shared" si="152"/>
        <v>6779.85</v>
      </c>
      <c r="L657" s="511"/>
      <c r="M657" s="513"/>
    </row>
    <row r="658" spans="1:13" x14ac:dyDescent="0.25">
      <c r="A658" s="615"/>
      <c r="B658" s="560">
        <v>42702</v>
      </c>
      <c r="C658" s="511">
        <v>500</v>
      </c>
      <c r="D658" s="512">
        <v>16.059999999999999</v>
      </c>
      <c r="E658" s="513">
        <v>0</v>
      </c>
      <c r="F658" s="513">
        <f t="shared" si="155"/>
        <v>8029.9999999999991</v>
      </c>
      <c r="G658" s="510">
        <v>42769</v>
      </c>
      <c r="H658" s="616">
        <v>300</v>
      </c>
      <c r="I658" s="617">
        <v>17.32</v>
      </c>
      <c r="J658" s="618">
        <v>0.11</v>
      </c>
      <c r="K658" s="618">
        <f t="shared" si="152"/>
        <v>5195.8900000000003</v>
      </c>
      <c r="L658" s="511"/>
      <c r="M658" s="513"/>
    </row>
    <row r="659" spans="1:13" x14ac:dyDescent="0.25">
      <c r="A659" s="615"/>
      <c r="B659" s="560">
        <v>42702</v>
      </c>
      <c r="C659" s="511">
        <v>200</v>
      </c>
      <c r="D659" s="512">
        <v>15.8</v>
      </c>
      <c r="E659" s="513">
        <v>0</v>
      </c>
      <c r="F659" s="513">
        <f t="shared" si="155"/>
        <v>3160</v>
      </c>
      <c r="G659" s="510">
        <v>42781</v>
      </c>
      <c r="H659" s="528">
        <v>600</v>
      </c>
      <c r="I659" s="512">
        <v>16.52</v>
      </c>
      <c r="J659" s="513">
        <v>0.22</v>
      </c>
      <c r="K659" s="513">
        <f t="shared" si="152"/>
        <v>9911.7800000000007</v>
      </c>
      <c r="L659" s="511"/>
      <c r="M659" s="513"/>
    </row>
    <row r="660" spans="1:13" x14ac:dyDescent="0.25">
      <c r="A660" s="615"/>
      <c r="B660" s="560">
        <v>42702</v>
      </c>
      <c r="C660" s="511">
        <v>300</v>
      </c>
      <c r="D660" s="512">
        <v>15.65</v>
      </c>
      <c r="E660" s="513">
        <v>0</v>
      </c>
      <c r="F660" s="513">
        <f t="shared" si="155"/>
        <v>4695</v>
      </c>
      <c r="G660" s="510">
        <v>42781</v>
      </c>
      <c r="H660" s="528">
        <v>300</v>
      </c>
      <c r="I660" s="512">
        <v>16.440000000000001</v>
      </c>
      <c r="J660" s="513">
        <v>0.11</v>
      </c>
      <c r="K660" s="513">
        <f t="shared" si="152"/>
        <v>4931.8900000000003</v>
      </c>
      <c r="L660" s="511"/>
      <c r="M660" s="513"/>
    </row>
    <row r="661" spans="1:13" x14ac:dyDescent="0.25">
      <c r="A661" s="511"/>
      <c r="B661" s="560">
        <v>42703</v>
      </c>
      <c r="C661" s="511">
        <v>300</v>
      </c>
      <c r="D661" s="512">
        <v>14.78</v>
      </c>
      <c r="E661" s="513">
        <v>0</v>
      </c>
      <c r="F661" s="513">
        <f t="shared" si="155"/>
        <v>4434</v>
      </c>
      <c r="G661" s="510">
        <v>42782</v>
      </c>
      <c r="H661" s="528">
        <v>300</v>
      </c>
      <c r="I661" s="512">
        <v>17</v>
      </c>
      <c r="J661" s="513">
        <v>0.11</v>
      </c>
      <c r="K661" s="513">
        <f t="shared" si="152"/>
        <v>5099.8900000000003</v>
      </c>
      <c r="L661" s="511"/>
      <c r="M661" s="513"/>
    </row>
    <row r="662" spans="1:13" x14ac:dyDescent="0.25">
      <c r="A662" s="511"/>
      <c r="B662" s="560">
        <v>42705</v>
      </c>
      <c r="C662" s="511">
        <v>350</v>
      </c>
      <c r="D662" s="512">
        <v>17.600000000000001</v>
      </c>
      <c r="E662" s="513">
        <v>0</v>
      </c>
      <c r="F662" s="513">
        <f t="shared" si="155"/>
        <v>6160.0000000000009</v>
      </c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511"/>
      <c r="B663" s="560">
        <v>42711</v>
      </c>
      <c r="C663" s="511">
        <v>500</v>
      </c>
      <c r="D663" s="512">
        <v>18.12</v>
      </c>
      <c r="E663" s="513">
        <v>0</v>
      </c>
      <c r="F663" s="513">
        <f t="shared" si="155"/>
        <v>9060</v>
      </c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511"/>
      <c r="B664" s="560">
        <v>42713</v>
      </c>
      <c r="C664" s="511">
        <v>500</v>
      </c>
      <c r="D664" s="512">
        <v>18.12</v>
      </c>
      <c r="E664" s="513">
        <v>0</v>
      </c>
      <c r="F664" s="513">
        <f t="shared" si="155"/>
        <v>9060</v>
      </c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511"/>
      <c r="B665" s="560">
        <v>42718</v>
      </c>
      <c r="C665" s="511">
        <v>200</v>
      </c>
      <c r="D665" s="512">
        <v>18.73</v>
      </c>
      <c r="E665" s="513">
        <v>-1</v>
      </c>
      <c r="F665" s="513">
        <f t="shared" si="155"/>
        <v>3745</v>
      </c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511"/>
      <c r="B666" s="560">
        <v>42733</v>
      </c>
      <c r="C666" s="511">
        <v>1000</v>
      </c>
      <c r="D666" s="512">
        <v>17.64</v>
      </c>
      <c r="E666" s="513">
        <v>-1.5</v>
      </c>
      <c r="F666" s="513">
        <f t="shared" si="155"/>
        <v>17638.5</v>
      </c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>
        <v>42734</v>
      </c>
      <c r="C667" s="511">
        <v>1000</v>
      </c>
      <c r="D667" s="512">
        <v>17.329999999999998</v>
      </c>
      <c r="E667" s="513">
        <v>0</v>
      </c>
      <c r="F667" s="513">
        <f t="shared" si="155"/>
        <v>17330</v>
      </c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>
        <v>42741</v>
      </c>
      <c r="C668" s="511">
        <v>500</v>
      </c>
      <c r="D668" s="512">
        <v>17.88</v>
      </c>
      <c r="E668" s="513">
        <v>0</v>
      </c>
      <c r="F668" s="513">
        <f t="shared" si="155"/>
        <v>8940</v>
      </c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>
        <v>42748</v>
      </c>
      <c r="C669" s="511">
        <v>500</v>
      </c>
      <c r="D669" s="512">
        <v>17.260000000000002</v>
      </c>
      <c r="E669" s="513">
        <v>0</v>
      </c>
      <c r="F669" s="513">
        <f t="shared" si="155"/>
        <v>8630</v>
      </c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614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614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614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614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11"/>
      <c r="B684" s="560"/>
      <c r="C684" s="511"/>
      <c r="D684" s="512"/>
      <c r="E684" s="513"/>
      <c r="F684" s="513"/>
      <c r="G684" s="511"/>
      <c r="H684" s="528"/>
      <c r="I684" s="512"/>
      <c r="J684" s="513"/>
      <c r="K684" s="513"/>
      <c r="L684" s="511"/>
      <c r="M684" s="513"/>
    </row>
    <row r="685" spans="1:13" x14ac:dyDescent="0.25">
      <c r="A685" s="511"/>
      <c r="B685" s="560"/>
      <c r="C685" s="511"/>
      <c r="D685" s="512"/>
      <c r="E685" s="513"/>
      <c r="F685" s="513"/>
      <c r="G685" s="511"/>
      <c r="H685" s="528"/>
      <c r="I685" s="512"/>
      <c r="J685" s="513"/>
      <c r="K685" s="513"/>
      <c r="L685" s="511"/>
      <c r="M685" s="513"/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  <row r="687" spans="1:13" x14ac:dyDescent="0.25">
      <c r="A687" s="511"/>
      <c r="B687" s="560"/>
      <c r="C687" s="511"/>
      <c r="D687" s="512"/>
      <c r="E687" s="513"/>
      <c r="F687" s="513"/>
      <c r="G687" s="511"/>
      <c r="H687" s="528"/>
      <c r="I687" s="512"/>
      <c r="J687" s="513"/>
      <c r="K687" s="513"/>
      <c r="L687" s="511"/>
      <c r="M687" s="513"/>
    </row>
    <row r="688" spans="1:13" x14ac:dyDescent="0.25">
      <c r="A688" s="511"/>
      <c r="B688" s="560"/>
      <c r="C688" s="511"/>
      <c r="D688" s="512"/>
      <c r="E688" s="513"/>
      <c r="F688" s="513"/>
      <c r="G688" s="511"/>
      <c r="H688" s="528"/>
      <c r="I688" s="512"/>
      <c r="J688" s="513"/>
      <c r="K688" s="513"/>
      <c r="L688" s="511"/>
      <c r="M688" s="513"/>
    </row>
    <row r="689" spans="1:13" x14ac:dyDescent="0.25">
      <c r="A689" s="511"/>
      <c r="B689" s="560"/>
      <c r="C689" s="511"/>
      <c r="D689" s="512"/>
      <c r="E689" s="513"/>
      <c r="F689" s="513"/>
      <c r="G689" s="511"/>
      <c r="H689" s="528"/>
      <c r="I689" s="512"/>
      <c r="J689" s="513"/>
      <c r="K689" s="513"/>
      <c r="L689" s="511"/>
      <c r="M689" s="513"/>
    </row>
    <row r="690" spans="1:13" x14ac:dyDescent="0.25">
      <c r="A690" s="511"/>
      <c r="B690" s="560"/>
      <c r="C690" s="511"/>
      <c r="D690" s="512"/>
      <c r="E690" s="513"/>
      <c r="F690" s="513"/>
      <c r="G690" s="511"/>
      <c r="H690" s="528"/>
      <c r="I690" s="512"/>
      <c r="J690" s="513"/>
      <c r="K690" s="513"/>
      <c r="L690" s="511"/>
      <c r="M690" s="513"/>
    </row>
    <row r="691" spans="1:13" x14ac:dyDescent="0.25">
      <c r="A691" s="511"/>
      <c r="B691" s="560"/>
      <c r="C691" s="511"/>
      <c r="D691" s="512"/>
      <c r="E691" s="513"/>
      <c r="F691" s="513"/>
      <c r="G691" s="511"/>
      <c r="H691" s="528"/>
      <c r="I691" s="512"/>
      <c r="J691" s="513"/>
      <c r="K691" s="513"/>
      <c r="L691" s="511"/>
      <c r="M691" s="513"/>
    </row>
    <row r="692" spans="1:13" x14ac:dyDescent="0.25">
      <c r="A692" s="511"/>
      <c r="B692" s="560"/>
      <c r="C692" s="511"/>
      <c r="D692" s="512"/>
      <c r="E692" s="513"/>
      <c r="F692" s="513"/>
      <c r="G692" s="511"/>
      <c r="H692" s="528"/>
      <c r="I692" s="512"/>
      <c r="J692" s="513"/>
      <c r="K692" s="513"/>
      <c r="L692" s="511"/>
      <c r="M692" s="513"/>
    </row>
    <row r="693" spans="1:13" x14ac:dyDescent="0.25">
      <c r="A693" s="530" t="s">
        <v>81</v>
      </c>
      <c r="B693" s="619"/>
      <c r="C693" s="553">
        <f>SUM(C432:C692)</f>
        <v>133812</v>
      </c>
      <c r="D693" s="532"/>
      <c r="E693" s="532"/>
      <c r="F693" s="532">
        <f>SUM(F432:F692)</f>
        <v>1899450.8389999999</v>
      </c>
      <c r="G693" s="531"/>
      <c r="H693" s="553">
        <f>SUM(H432:H692)</f>
        <v>133812</v>
      </c>
      <c r="I693" s="620"/>
      <c r="J693" s="532"/>
      <c r="K693" s="532">
        <f>SUM(K432:K692)</f>
        <v>1911314.2100000016</v>
      </c>
      <c r="L693" s="531"/>
      <c r="M693" s="532">
        <f>SUM(M432:M442)</f>
        <v>2752.2000000000003</v>
      </c>
    </row>
    <row r="694" spans="1:13" ht="15.75" thickBot="1" x14ac:dyDescent="0.3">
      <c r="A694" s="533" t="s">
        <v>194</v>
      </c>
      <c r="B694" s="621"/>
      <c r="C694" s="535">
        <f>SumByColor($A$70, C432:C692)</f>
        <v>0</v>
      </c>
      <c r="D694" s="535"/>
      <c r="E694" s="535"/>
      <c r="F694" s="536">
        <f>SumByColor($A$70, F432:F692)</f>
        <v>0</v>
      </c>
      <c r="G694" s="535"/>
      <c r="H694" s="535">
        <f>SumByColor($A$70, H432:H692)</f>
        <v>0</v>
      </c>
      <c r="I694" s="535"/>
      <c r="J694" s="536"/>
      <c r="K694" s="536">
        <f>SumByColor($A$70, K432:K692)</f>
        <v>0</v>
      </c>
      <c r="L694" s="535"/>
      <c r="M694" s="536">
        <f>SumByColor($A$70, M432:M692)</f>
        <v>0</v>
      </c>
    </row>
    <row r="695" spans="1:13" x14ac:dyDescent="0.25">
      <c r="A695" s="511"/>
      <c r="B695" s="560"/>
      <c r="C695" s="511"/>
      <c r="D695" s="512"/>
      <c r="E695" s="513"/>
      <c r="F695" s="513"/>
      <c r="G695" s="511"/>
      <c r="H695" s="528"/>
      <c r="I695" s="512"/>
      <c r="J695" s="513"/>
      <c r="K695" s="513"/>
      <c r="L695" s="511"/>
      <c r="M695" s="513"/>
    </row>
  </sheetData>
  <mergeCells count="3">
    <mergeCell ref="O41:P41"/>
    <mergeCell ref="Z2:AB2"/>
    <mergeCell ref="Z3:AB3"/>
  </mergeCells>
  <conditionalFormatting sqref="F178:F196 H178:H196 H331 F331 H402:H426 F402:F426">
    <cfRule type="expression" dxfId="1559" priority="109">
      <formula>F178&gt;0</formula>
    </cfRule>
    <cfRule type="expression" dxfId="1558" priority="110">
      <formula>F178&lt;0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1:F177">
    <cfRule type="expression" dxfId="1557" priority="102">
      <formula>F171&gt;0</formula>
    </cfRule>
    <cfRule type="expression" dxfId="1556" priority="103">
      <formula>F171&lt;0</formula>
    </cfRule>
  </conditionalFormatting>
  <conditionalFormatting sqref="H171:H177">
    <cfRule type="expression" dxfId="1555" priority="98">
      <formula>H171&gt;0</formula>
    </cfRule>
    <cfRule type="expression" dxfId="1554" priority="99">
      <formula>H171&lt;0</formula>
    </cfRule>
  </conditionalFormatting>
  <conditionalFormatting sqref="Q8">
    <cfRule type="expression" dxfId="1553" priority="84">
      <formula>Q8&gt;0</formula>
    </cfRule>
    <cfRule type="expression" dxfId="1552" priority="85">
      <formula>Q8&lt;0</formula>
    </cfRule>
  </conditionalFormatting>
  <conditionalFormatting sqref="Q7">
    <cfRule type="expression" dxfId="1551" priority="86">
      <formula>Q7&gt;0</formula>
    </cfRule>
    <cfRule type="expression" dxfId="1550" priority="87">
      <formula>Q7&lt;0</formula>
    </cfRule>
  </conditionalFormatting>
  <conditionalFormatting sqref="F279:F285">
    <cfRule type="expression" dxfId="1549" priority="58">
      <formula>F279&gt;0</formula>
    </cfRule>
    <cfRule type="expression" dxfId="1548" priority="59">
      <formula>F279&lt;0</formula>
    </cfRule>
  </conditionalFormatting>
  <conditionalFormatting sqref="F204:F222 H204:H222">
    <cfRule type="expression" dxfId="1547" priority="80">
      <formula>F204&gt;0</formula>
    </cfRule>
    <cfRule type="expression" dxfId="1546" priority="81">
      <formula>F204&lt;0</formula>
    </cfRule>
  </conditionalFormatting>
  <conditionalFormatting sqref="F197:F203">
    <cfRule type="expression" dxfId="1545" priority="78">
      <formula>F197&gt;0</formula>
    </cfRule>
    <cfRule type="expression" dxfId="1544" priority="79">
      <formula>F197&lt;0</formula>
    </cfRule>
  </conditionalFormatting>
  <conditionalFormatting sqref="H197:H203">
    <cfRule type="expression" dxfId="1543" priority="76">
      <formula>H197&gt;0</formula>
    </cfRule>
    <cfRule type="expression" dxfId="1542" priority="77">
      <formula>H197&lt;0</formula>
    </cfRule>
  </conditionalFormatting>
  <conditionalFormatting sqref="F230:F248 H230:H248">
    <cfRule type="expression" dxfId="1541" priority="74">
      <formula>F230&gt;0</formula>
    </cfRule>
    <cfRule type="expression" dxfId="1540" priority="75">
      <formula>F230&lt;0</formula>
    </cfRule>
  </conditionalFormatting>
  <conditionalFormatting sqref="F223:F229">
    <cfRule type="expression" dxfId="1539" priority="72">
      <formula>F223&gt;0</formula>
    </cfRule>
    <cfRule type="expression" dxfId="1538" priority="73">
      <formula>F223&lt;0</formula>
    </cfRule>
  </conditionalFormatting>
  <conditionalFormatting sqref="H223:H229">
    <cfRule type="expression" dxfId="1537" priority="70">
      <formula>H223&gt;0</formula>
    </cfRule>
    <cfRule type="expression" dxfId="1536" priority="71">
      <formula>H223&lt;0</formula>
    </cfRule>
  </conditionalFormatting>
  <conditionalFormatting sqref="F256:F273 H256:H273">
    <cfRule type="expression" dxfId="1535" priority="68">
      <formula>F256&gt;0</formula>
    </cfRule>
    <cfRule type="expression" dxfId="1534" priority="69">
      <formula>F256&lt;0</formula>
    </cfRule>
  </conditionalFormatting>
  <conditionalFormatting sqref="F249:F255">
    <cfRule type="expression" dxfId="1533" priority="66">
      <formula>F249&gt;0</formula>
    </cfRule>
    <cfRule type="expression" dxfId="1532" priority="67">
      <formula>F249&lt;0</formula>
    </cfRule>
  </conditionalFormatting>
  <conditionalFormatting sqref="H249:H255">
    <cfRule type="expression" dxfId="1531" priority="64">
      <formula>H249&gt;0</formula>
    </cfRule>
    <cfRule type="expression" dxfId="1530" priority="65">
      <formula>H249&lt;0</formula>
    </cfRule>
  </conditionalFormatting>
  <conditionalFormatting sqref="F274:F278 H274:H278">
    <cfRule type="expression" dxfId="1529" priority="62">
      <formula>F274&gt;0</formula>
    </cfRule>
    <cfRule type="expression" dxfId="1528" priority="63">
      <formula>F274&lt;0</formula>
    </cfRule>
  </conditionalFormatting>
  <conditionalFormatting sqref="F286:F301 H286:H301">
    <cfRule type="expression" dxfId="1527" priority="60">
      <formula>F286&gt;0</formula>
    </cfRule>
    <cfRule type="expression" dxfId="1526" priority="61">
      <formula>F286&lt;0</formula>
    </cfRule>
  </conditionalFormatting>
  <conditionalFormatting sqref="H279:H285">
    <cfRule type="expression" dxfId="1525" priority="56">
      <formula>H279&gt;0</formula>
    </cfRule>
    <cfRule type="expression" dxfId="1524" priority="57">
      <formula>H279&lt;0</formula>
    </cfRule>
  </conditionalFormatting>
  <conditionalFormatting sqref="F302 H302">
    <cfRule type="expression" dxfId="1523" priority="54">
      <formula>F302&gt;0</formula>
    </cfRule>
    <cfRule type="expression" dxfId="1522" priority="55">
      <formula>F302&lt;0</formula>
    </cfRule>
  </conditionalFormatting>
  <conditionalFormatting sqref="F303:F307 H303:H307">
    <cfRule type="expression" dxfId="1521" priority="52">
      <formula>F303&gt;0</formula>
    </cfRule>
    <cfRule type="expression" dxfId="1520" priority="53">
      <formula>F303&lt;0</formula>
    </cfRule>
  </conditionalFormatting>
  <conditionalFormatting sqref="F315:F330 H315:H330">
    <cfRule type="expression" dxfId="1519" priority="50">
      <formula>F315&gt;0</formula>
    </cfRule>
    <cfRule type="expression" dxfId="1518" priority="51">
      <formula>F315&lt;0</formula>
    </cfRule>
  </conditionalFormatting>
  <conditionalFormatting sqref="F308:F314">
    <cfRule type="expression" dxfId="1517" priority="48">
      <formula>F308&gt;0</formula>
    </cfRule>
    <cfRule type="expression" dxfId="1516" priority="49">
      <formula>F308&lt;0</formula>
    </cfRule>
  </conditionalFormatting>
  <conditionalFormatting sqref="H308:H314">
    <cfRule type="expression" dxfId="1515" priority="46">
      <formula>H308&gt;0</formula>
    </cfRule>
    <cfRule type="expression" dxfId="1514" priority="47">
      <formula>H308&lt;0</formula>
    </cfRule>
  </conditionalFormatting>
  <conditionalFormatting sqref="F332:F337 H332:H337">
    <cfRule type="expression" dxfId="1513" priority="44">
      <formula>F332&gt;0</formula>
    </cfRule>
    <cfRule type="expression" dxfId="1512" priority="45">
      <formula>F332&lt;0</formula>
    </cfRule>
  </conditionalFormatting>
  <conditionalFormatting sqref="F338 H338">
    <cfRule type="expression" dxfId="1511" priority="42">
      <formula>F338&gt;0</formula>
    </cfRule>
    <cfRule type="expression" dxfId="1510" priority="43">
      <formula>F338&lt;0</formula>
    </cfRule>
  </conditionalFormatting>
  <conditionalFormatting sqref="F339:F343 H339:H343">
    <cfRule type="expression" dxfId="1509" priority="40">
      <formula>F339&gt;0</formula>
    </cfRule>
    <cfRule type="expression" dxfId="1508" priority="41">
      <formula>F339&lt;0</formula>
    </cfRule>
  </conditionalFormatting>
  <conditionalFormatting sqref="F351:F366 H351:H366">
    <cfRule type="expression" dxfId="1507" priority="38">
      <formula>F351&gt;0</formula>
    </cfRule>
    <cfRule type="expression" dxfId="1506" priority="39">
      <formula>F351&lt;0</formula>
    </cfRule>
  </conditionalFormatting>
  <conditionalFormatting sqref="F344:F350">
    <cfRule type="expression" dxfId="1505" priority="36">
      <formula>F344&gt;0</formula>
    </cfRule>
    <cfRule type="expression" dxfId="1504" priority="37">
      <formula>F344&lt;0</formula>
    </cfRule>
  </conditionalFormatting>
  <conditionalFormatting sqref="H344:H350">
    <cfRule type="expression" dxfId="1503" priority="34">
      <formula>H344&gt;0</formula>
    </cfRule>
    <cfRule type="expression" dxfId="1502" priority="35">
      <formula>H344&lt;0</formula>
    </cfRule>
  </conditionalFormatting>
  <conditionalFormatting sqref="F367:F372 H367:H372">
    <cfRule type="expression" dxfId="1501" priority="32">
      <formula>F367&gt;0</formula>
    </cfRule>
    <cfRule type="expression" dxfId="1500" priority="33">
      <formula>F367&lt;0</formula>
    </cfRule>
  </conditionalFormatting>
  <conditionalFormatting sqref="F373 H373">
    <cfRule type="expression" dxfId="1499" priority="30">
      <formula>F373&gt;0</formula>
    </cfRule>
    <cfRule type="expression" dxfId="1498" priority="31">
      <formula>F373&lt;0</formula>
    </cfRule>
  </conditionalFormatting>
  <conditionalFormatting sqref="F374:F378 H374:H378">
    <cfRule type="expression" dxfId="1497" priority="28">
      <formula>F374&gt;0</formula>
    </cfRule>
    <cfRule type="expression" dxfId="1496" priority="29">
      <formula>F374&lt;0</formula>
    </cfRule>
  </conditionalFormatting>
  <conditionalFormatting sqref="F386:F401 H386:H401">
    <cfRule type="expression" dxfId="1495" priority="26">
      <formula>F386&gt;0</formula>
    </cfRule>
    <cfRule type="expression" dxfId="1494" priority="27">
      <formula>F386&lt;0</formula>
    </cfRule>
  </conditionalFormatting>
  <conditionalFormatting sqref="F379:F385">
    <cfRule type="expression" dxfId="1493" priority="24">
      <formula>F379&gt;0</formula>
    </cfRule>
    <cfRule type="expression" dxfId="1492" priority="25">
      <formula>F379&lt;0</formula>
    </cfRule>
  </conditionalFormatting>
  <conditionalFormatting sqref="H379:H385">
    <cfRule type="expression" dxfId="1491" priority="22">
      <formula>H379&gt;0</formula>
    </cfRule>
    <cfRule type="expression" dxfId="1490" priority="23">
      <formula>H379&lt;0</formula>
    </cfRule>
  </conditionalFormatting>
  <conditionalFormatting sqref="M430">
    <cfRule type="expression" dxfId="1489" priority="20">
      <formula>M430&gt;0</formula>
    </cfRule>
    <cfRule type="expression" dxfId="1488" priority="21">
      <formula>M430&lt;0</formula>
    </cfRule>
  </conditionalFormatting>
  <conditionalFormatting sqref="F92:F165 H92:H165">
    <cfRule type="expression" dxfId="1487" priority="18">
      <formula>F92&gt;0</formula>
    </cfRule>
    <cfRule type="expression" dxfId="1486" priority="19">
      <formula>F92&lt;0</formula>
    </cfRule>
  </conditionalFormatting>
  <conditionalFormatting sqref="F80:F91">
    <cfRule type="expression" dxfId="1485" priority="16">
      <formula>F80&gt;0</formula>
    </cfRule>
    <cfRule type="expression" dxfId="1484" priority="17">
      <formula>F80&lt;0</formula>
    </cfRule>
  </conditionalFormatting>
  <conditionalFormatting sqref="H80:H91">
    <cfRule type="expression" dxfId="1483" priority="14">
      <formula>H80&gt;0</formula>
    </cfRule>
    <cfRule type="expression" dxfId="1482" priority="15">
      <formula>H80&lt;0</formula>
    </cfRule>
  </conditionalFormatting>
  <conditionalFormatting sqref="F74:F79 H74:H79">
    <cfRule type="expression" dxfId="1481" priority="12">
      <formula>F74&gt;0</formula>
    </cfRule>
    <cfRule type="expression" dxfId="1480" priority="13">
      <formula>F74&lt;0</formula>
    </cfRule>
  </conditionalFormatting>
  <conditionalFormatting sqref="J76:K76">
    <cfRule type="expression" dxfId="1479" priority="10">
      <formula>J76&gt;0</formula>
    </cfRule>
    <cfRule type="expression" dxfId="1478" priority="11">
      <formula>J76&lt;0</formula>
    </cfRule>
  </conditionalFormatting>
  <conditionalFormatting sqref="J77:K83 K82:K165">
    <cfRule type="expression" dxfId="1477" priority="8">
      <formula>J77&gt;0</formula>
    </cfRule>
    <cfRule type="expression" dxfId="1476" priority="9">
      <formula>J77&lt;0</formula>
    </cfRule>
  </conditionalFormatting>
  <conditionalFormatting sqref="L76:L165">
    <cfRule type="expression" dxfId="1475" priority="4">
      <formula>L76&gt;0</formula>
    </cfRule>
    <cfRule type="expression" dxfId="1474" priority="5">
      <formula>L76&lt;0</formula>
    </cfRule>
  </conditionalFormatting>
  <conditionalFormatting sqref="Q10">
    <cfRule type="expression" dxfId="1473" priority="2">
      <formula>Q10&gt;0</formula>
    </cfRule>
    <cfRule type="expression" dxfId="147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3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905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14.91</v>
      </c>
      <c r="R4" s="509">
        <v>-4.6699999999999998E-2</v>
      </c>
      <c r="T4" s="159"/>
      <c r="U4" s="1" t="s">
        <v>955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2982</v>
      </c>
      <c r="T5" s="1">
        <v>43112</v>
      </c>
      <c r="U5" t="s">
        <v>953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-508</v>
      </c>
      <c r="R7">
        <v>200</v>
      </c>
      <c r="T7" s="1">
        <v>43117</v>
      </c>
      <c r="U7" t="s">
        <v>960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-508</v>
      </c>
      <c r="U8" t="s">
        <v>961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-0.14555873925501434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3.219315895372233E-2</v>
      </c>
      <c r="R11">
        <f>0.12</f>
        <v>0.12</v>
      </c>
      <c r="T11" s="159">
        <v>43124</v>
      </c>
      <c r="U11" t="s">
        <v>954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9">C28*(E28-D28)</f>
        <v>-19.999999999999574</v>
      </c>
      <c r="G28" s="39">
        <f t="shared" ref="G28:G29" si="10">D28*C28</f>
        <v>3490</v>
      </c>
      <c r="H28" s="226">
        <f t="shared" ref="H28:H29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9"/>
        <v>-201.9999999999996</v>
      </c>
      <c r="G29" s="39">
        <f t="shared" si="10"/>
        <v>3490</v>
      </c>
      <c r="H29" s="226">
        <f t="shared" si="11"/>
        <v>-5.7879656160458343E-2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16.401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16.251900000000003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16.102800000000002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15.953700000000001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15.804600000000001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15.6555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15.506400000000001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15.3573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15.2082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15.059100000000001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14.91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14.760899999999999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14.611800000000001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14.4627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14.313599999999999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14.1645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14.0154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13.866300000000001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13.7172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13.568100000000001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13.419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841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60" priority="21">
      <formula>F47&gt;0</formula>
    </cfRule>
    <cfRule type="expression" dxfId="1459" priority="22">
      <formula>F47&lt;0</formula>
    </cfRule>
  </conditionalFormatting>
  <conditionalFormatting sqref="Q7">
    <cfRule type="expression" dxfId="1458" priority="19">
      <formula>Q7&gt;0</formula>
    </cfRule>
    <cfRule type="expression" dxfId="1457" priority="20">
      <formula>Q7&lt;0</formula>
    </cfRule>
  </conditionalFormatting>
  <conditionalFormatting sqref="Q8">
    <cfRule type="expression" dxfId="1456" priority="17">
      <formula>Q8&gt;0</formula>
    </cfRule>
    <cfRule type="expression" dxfId="1455" priority="18">
      <formula>Q8&lt;0</formula>
    </cfRule>
  </conditionalFormatting>
  <conditionalFormatting sqref="F25:F46">
    <cfRule type="expression" dxfId="1454" priority="15">
      <formula>F25&gt;0</formula>
    </cfRule>
    <cfRule type="expression" dxfId="1453" priority="16">
      <formula>F25&lt;0</formula>
    </cfRule>
  </conditionalFormatting>
  <conditionalFormatting sqref="H25:H46">
    <cfRule type="expression" dxfId="1452" priority="13">
      <formula>H25&gt;0</formula>
    </cfRule>
    <cfRule type="expression" dxfId="1451" priority="14">
      <formula>H25&lt;0</formula>
    </cfRule>
  </conditionalFormatting>
  <conditionalFormatting sqref="F89:F110">
    <cfRule type="expression" dxfId="1450" priority="11">
      <formula>F89&gt;0</formula>
    </cfRule>
    <cfRule type="expression" dxfId="1449" priority="12">
      <formula>F89&lt;0</formula>
    </cfRule>
  </conditionalFormatting>
  <conditionalFormatting sqref="H89:H110">
    <cfRule type="expression" dxfId="1448" priority="9">
      <formula>H89&gt;0</formula>
    </cfRule>
    <cfRule type="expression" dxfId="1447" priority="10">
      <formula>H89&lt;0</formula>
    </cfRule>
  </conditionalFormatting>
  <conditionalFormatting sqref="Q10">
    <cfRule type="expression" dxfId="1446" priority="7">
      <formula>Q10&gt;0</formula>
    </cfRule>
    <cfRule type="expression" dxfId="1445" priority="8">
      <formula>Q10&lt;0</formula>
    </cfRule>
  </conditionalFormatting>
  <conditionalFormatting sqref="J25:J38">
    <cfRule type="expression" dxfId="1444" priority="5">
      <formula>J25&gt;0</formula>
    </cfRule>
    <cfRule type="expression" dxfId="1443" priority="6">
      <formula>J25&lt;0</formula>
    </cfRule>
  </conditionalFormatting>
  <conditionalFormatting sqref="K25:K38">
    <cfRule type="expression" dxfId="1442" priority="3">
      <formula>K25&gt;0</formula>
    </cfRule>
    <cfRule type="expression" dxfId="1441" priority="4">
      <formula>K25&lt;0</formula>
    </cfRule>
  </conditionalFormatting>
  <conditionalFormatting sqref="L25:L38">
    <cfRule type="expression" dxfId="1440" priority="1">
      <formula>L25&gt;0</formula>
    </cfRule>
    <cfRule type="expression" dxfId="1439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844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1500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30.45329333333332</v>
      </c>
      <c r="T3" s="1" t="s">
        <v>474</v>
      </c>
      <c r="W3" s="134"/>
      <c r="Y3" s="29">
        <v>43095</v>
      </c>
      <c r="Z3" t="s">
        <v>845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28.47</v>
      </c>
      <c r="R4" s="226">
        <v>-2.9700000000000001E-2</v>
      </c>
      <c r="T4" s="159"/>
      <c r="W4" s="134"/>
      <c r="Z4" t="s">
        <v>851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42705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45679.939999999981</v>
      </c>
      <c r="T6" t="s">
        <v>537</v>
      </c>
      <c r="W6" s="134"/>
      <c r="Y6" s="29">
        <v>43102</v>
      </c>
      <c r="Z6" t="s">
        <v>910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-1226.9699999999939</v>
      </c>
      <c r="R7">
        <v>400</v>
      </c>
      <c r="W7" s="134"/>
      <c r="Z7" t="s">
        <v>896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-2974.9399999999878</v>
      </c>
      <c r="W8" s="134"/>
    </row>
    <row r="9" spans="1:28" x14ac:dyDescent="0.25">
      <c r="B9" s="48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-6.5125742284249694E-2</v>
      </c>
      <c r="W9" s="134"/>
      <c r="Y9" s="29">
        <v>43104</v>
      </c>
      <c r="Z9" t="s">
        <v>908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M198</f>
        <v>1747.9699999999939</v>
      </c>
      <c r="W10" s="134"/>
      <c r="Z10" t="s">
        <v>909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1.7562346329469618E-2</v>
      </c>
      <c r="R11">
        <f>0.125</f>
        <v>0.125</v>
      </c>
      <c r="W11" s="134"/>
      <c r="Y11" s="29">
        <v>43105</v>
      </c>
      <c r="Z11" t="s">
        <v>914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922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923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  <c r="Y16" s="29">
        <v>43126</v>
      </c>
      <c r="Z16" t="s">
        <v>977</v>
      </c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5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700"/>
      <c r="W17" s="134"/>
      <c r="Z17" t="s">
        <v>978</v>
      </c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5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700"/>
      <c r="W18" s="134"/>
    </row>
    <row r="19" spans="2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  <c r="Y19" s="791">
        <v>43153</v>
      </c>
      <c r="Z19" t="s">
        <v>982</v>
      </c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791">
        <v>43167</v>
      </c>
      <c r="Z20" t="s">
        <v>897</v>
      </c>
    </row>
    <row r="21" spans="2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9"/>
      <c r="H22" s="4"/>
      <c r="I22" s="3"/>
      <c r="J22" s="3"/>
      <c r="K22" s="3"/>
      <c r="O22" s="802" t="s">
        <v>78</v>
      </c>
      <c r="P22" s="802"/>
      <c r="W22" s="134"/>
    </row>
    <row r="23" spans="2:26" ht="15.75" thickTop="1" x14ac:dyDescent="0.25">
      <c r="B23" s="48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31.317</v>
      </c>
      <c r="Q23" s="2"/>
      <c r="W23" s="134"/>
    </row>
    <row r="24" spans="2:26" ht="20.25" thickBot="1" x14ac:dyDescent="0.35">
      <c r="B24" s="48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31.032299999999999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30.747600000000002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30.462900000000001</v>
      </c>
      <c r="Q26" s="2"/>
      <c r="T26" s="91" t="s">
        <v>98</v>
      </c>
      <c r="U26" s="86">
        <v>29.69</v>
      </c>
      <c r="W26" s="134"/>
    </row>
    <row r="27" spans="2:26" x14ac:dyDescent="0.25">
      <c r="B27" s="48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30.1782</v>
      </c>
      <c r="Q27" s="2"/>
      <c r="T27" s="91" t="s">
        <v>99</v>
      </c>
      <c r="U27" s="86" t="s">
        <v>128</v>
      </c>
      <c r="W27" s="134"/>
    </row>
    <row r="28" spans="2:26" x14ac:dyDescent="0.25">
      <c r="B28" s="48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29.8935</v>
      </c>
      <c r="Q28" s="2"/>
      <c r="T28" s="91" t="s">
        <v>100</v>
      </c>
      <c r="U28" s="86" t="s">
        <v>128</v>
      </c>
      <c r="W28" s="134"/>
    </row>
    <row r="29" spans="2:26" x14ac:dyDescent="0.25">
      <c r="C29" s="4"/>
      <c r="D29" s="3"/>
      <c r="E29" s="3"/>
      <c r="F29" s="3"/>
      <c r="O29" s="81">
        <v>1.04</v>
      </c>
      <c r="P29" s="81">
        <f t="shared" si="2"/>
        <v>29.608799999999999</v>
      </c>
      <c r="Q29" s="2"/>
      <c r="T29" s="91" t="s">
        <v>101</v>
      </c>
      <c r="U29" s="86">
        <v>34.43</v>
      </c>
      <c r="W29" s="134"/>
    </row>
    <row r="30" spans="2:26" x14ac:dyDescent="0.25">
      <c r="O30" s="81">
        <v>1.03</v>
      </c>
      <c r="P30" s="81">
        <f t="shared" si="2"/>
        <v>29.324099999999998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29.039400000000001</v>
      </c>
      <c r="Q31" s="2"/>
      <c r="T31" s="91" t="s">
        <v>103</v>
      </c>
      <c r="U31" s="86" t="s">
        <v>525</v>
      </c>
      <c r="W31" s="134"/>
    </row>
    <row r="32" spans="2:26" x14ac:dyDescent="0.25">
      <c r="O32" s="81">
        <v>1.01</v>
      </c>
      <c r="P32" s="81">
        <f t="shared" si="2"/>
        <v>28.7547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28.47</v>
      </c>
      <c r="Q33" s="2"/>
      <c r="T33" s="91" t="s">
        <v>104</v>
      </c>
      <c r="U33" s="86" t="s">
        <v>624</v>
      </c>
      <c r="W33" s="134"/>
    </row>
    <row r="34" spans="1:23" x14ac:dyDescent="0.25">
      <c r="O34" s="81">
        <v>0.99</v>
      </c>
      <c r="P34" s="81">
        <f t="shared" si="2"/>
        <v>28.185299999999998</v>
      </c>
      <c r="Q34" s="2"/>
      <c r="T34" s="91" t="s">
        <v>105</v>
      </c>
      <c r="U34" s="86" t="s">
        <v>625</v>
      </c>
      <c r="W34" s="134"/>
    </row>
    <row r="35" spans="1:23" x14ac:dyDescent="0.25">
      <c r="O35" s="81">
        <v>0.98</v>
      </c>
      <c r="P35" s="81">
        <f t="shared" si="2"/>
        <v>27.900599999999997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27.6159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27.331199999999999</v>
      </c>
      <c r="T37" s="91" t="s">
        <v>107</v>
      </c>
      <c r="U37" s="86" t="s">
        <v>626</v>
      </c>
      <c r="W37" s="134"/>
    </row>
    <row r="38" spans="1:23" x14ac:dyDescent="0.25">
      <c r="O38" s="81">
        <v>0.95</v>
      </c>
      <c r="P38" s="81">
        <f t="shared" si="2"/>
        <v>27.046499999999998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26.761799999999997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26.4771</v>
      </c>
      <c r="T40" s="91" t="s">
        <v>108</v>
      </c>
      <c r="U40" s="86" t="s">
        <v>563</v>
      </c>
      <c r="W40" s="134"/>
    </row>
    <row r="41" spans="1:23" x14ac:dyDescent="0.25">
      <c r="A41" s="31" t="s">
        <v>81</v>
      </c>
      <c r="B41" s="14"/>
      <c r="C41" s="14">
        <f>SUM(C2:C29)</f>
        <v>5300</v>
      </c>
      <c r="D41" s="18"/>
      <c r="E41" s="18"/>
      <c r="F41" s="18">
        <f>SUM(F2:F29)</f>
        <v>145751.24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26.192399999999999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4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25.907699999999998</v>
      </c>
      <c r="W42" s="134"/>
    </row>
    <row r="43" spans="1:23" x14ac:dyDescent="0.25">
      <c r="O43" s="81">
        <v>0.9</v>
      </c>
      <c r="P43" s="81">
        <f t="shared" si="2"/>
        <v>25.623000000000001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516</v>
      </c>
      <c r="K47" s="224" t="s">
        <v>150</v>
      </c>
      <c r="L47" s="224" t="s">
        <v>782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720</v>
      </c>
      <c r="S48" s="22" t="s">
        <v>719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834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6">
        <v>1500</v>
      </c>
      <c r="D89" s="47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911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6">
        <v>1500</v>
      </c>
      <c r="D101" s="479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987</v>
      </c>
      <c r="J101" s="39"/>
      <c r="K101" s="39">
        <v>78</v>
      </c>
      <c r="L101" s="39"/>
    </row>
    <row r="102" spans="1:12" x14ac:dyDescent="0.25">
      <c r="B102" s="10"/>
      <c r="C102" s="10"/>
      <c r="D102" s="39"/>
      <c r="E102" s="39"/>
      <c r="F102" s="39"/>
      <c r="G102" s="10"/>
      <c r="H102" s="10"/>
      <c r="I102" s="39"/>
      <c r="J102" s="39"/>
      <c r="K102" s="39"/>
      <c r="L102" s="39"/>
    </row>
    <row r="103" spans="1:12" x14ac:dyDescent="0.25">
      <c r="B103" s="10"/>
      <c r="C103" s="10"/>
      <c r="D103" s="39"/>
      <c r="E103" s="39"/>
      <c r="F103" s="39"/>
      <c r="G103" s="10"/>
      <c r="H103" s="10"/>
      <c r="I103" s="39"/>
      <c r="J103" s="39"/>
      <c r="K103" s="39"/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7" spans="1:12" x14ac:dyDescent="0.25">
      <c r="B107" s="370">
        <v>42484</v>
      </c>
      <c r="C107" s="371">
        <v>100</v>
      </c>
      <c r="D107" s="372">
        <v>35.917999999999999</v>
      </c>
      <c r="E107" s="372">
        <v>35.58</v>
      </c>
      <c r="F107" s="372">
        <f t="shared" ref="F107:F120" si="138">C107*(E107-D107)</f>
        <v>-33.800000000000097</v>
      </c>
      <c r="G107" s="372">
        <f t="shared" ref="G107:G120" si="139">D107*C107</f>
        <v>3591.7999999999997</v>
      </c>
      <c r="H107" s="373">
        <f t="shared" ref="H107:H120" si="140">(E107-D107)/D107</f>
        <v>-9.410323514672336E-3</v>
      </c>
      <c r="I107" s="372"/>
    </row>
    <row r="108" spans="1:12" x14ac:dyDescent="0.25">
      <c r="B108" s="370">
        <v>42485</v>
      </c>
      <c r="C108" s="371">
        <v>100</v>
      </c>
      <c r="D108" s="372">
        <v>35.917999999999999</v>
      </c>
      <c r="E108" s="372">
        <v>36.770000000000003</v>
      </c>
      <c r="F108" s="372">
        <f t="shared" si="138"/>
        <v>85.200000000000387</v>
      </c>
      <c r="G108" s="372">
        <f t="shared" si="139"/>
        <v>3591.7999999999997</v>
      </c>
      <c r="H108" s="373">
        <f t="shared" si="140"/>
        <v>2.3720697143493622E-2</v>
      </c>
      <c r="I108" s="372"/>
    </row>
    <row r="109" spans="1:12" x14ac:dyDescent="0.25">
      <c r="B109" s="370">
        <v>42498</v>
      </c>
      <c r="C109" s="371">
        <v>100</v>
      </c>
      <c r="D109" s="372">
        <v>35.917999999999999</v>
      </c>
      <c r="E109" s="372">
        <v>34.549999999999997</v>
      </c>
      <c r="F109" s="372">
        <f t="shared" si="138"/>
        <v>-136.80000000000021</v>
      </c>
      <c r="G109" s="372">
        <f t="shared" si="139"/>
        <v>3591.7999999999997</v>
      </c>
      <c r="H109" s="373">
        <f t="shared" si="140"/>
        <v>-3.8086753159975562E-2</v>
      </c>
      <c r="I109" s="372"/>
    </row>
    <row r="110" spans="1:12" x14ac:dyDescent="0.25">
      <c r="B110" s="370">
        <v>42508</v>
      </c>
      <c r="C110" s="371">
        <v>140</v>
      </c>
      <c r="D110" s="372">
        <v>35.423999999999999</v>
      </c>
      <c r="E110" s="372">
        <v>34.369999999999997</v>
      </c>
      <c r="F110" s="372">
        <f t="shared" si="138"/>
        <v>-147.56000000000029</v>
      </c>
      <c r="G110" s="372">
        <f t="shared" si="139"/>
        <v>4959.3599999999997</v>
      </c>
      <c r="H110" s="373">
        <f t="shared" si="140"/>
        <v>-2.9753839205058776E-2</v>
      </c>
      <c r="I110" s="372"/>
    </row>
    <row r="111" spans="1:12" x14ac:dyDescent="0.25">
      <c r="B111" s="370">
        <v>42509</v>
      </c>
      <c r="C111" s="371">
        <v>240</v>
      </c>
      <c r="D111" s="372">
        <v>35.034999999999997</v>
      </c>
      <c r="E111" s="372">
        <v>34.83</v>
      </c>
      <c r="F111" s="372">
        <f t="shared" si="138"/>
        <v>-49.199999999999591</v>
      </c>
      <c r="G111" s="372">
        <f t="shared" si="139"/>
        <v>8408.4</v>
      </c>
      <c r="H111" s="373">
        <f t="shared" si="140"/>
        <v>-5.8512915655772315E-3</v>
      </c>
      <c r="I111" s="372"/>
    </row>
    <row r="112" spans="1:12" x14ac:dyDescent="0.25">
      <c r="B112" s="370">
        <v>42514</v>
      </c>
      <c r="C112" s="371">
        <v>200</v>
      </c>
      <c r="D112" s="372">
        <v>34.972000000000001</v>
      </c>
      <c r="E112" s="372">
        <v>35.520000000000003</v>
      </c>
      <c r="F112" s="372">
        <f t="shared" si="138"/>
        <v>109.60000000000036</v>
      </c>
      <c r="G112" s="372">
        <f t="shared" si="139"/>
        <v>6994.4000000000005</v>
      </c>
      <c r="H112" s="373">
        <f t="shared" si="140"/>
        <v>1.5669678600022927E-2</v>
      </c>
      <c r="I112" s="372"/>
    </row>
    <row r="113" spans="2:9" x14ac:dyDescent="0.25">
      <c r="B113" s="370">
        <v>42515</v>
      </c>
      <c r="C113" s="371">
        <v>200</v>
      </c>
      <c r="D113" s="372">
        <v>34.972000000000001</v>
      </c>
      <c r="E113" s="372">
        <v>34.94</v>
      </c>
      <c r="F113" s="372">
        <f t="shared" si="138"/>
        <v>-6.4000000000007162</v>
      </c>
      <c r="G113" s="372">
        <f t="shared" si="139"/>
        <v>6994.4000000000005</v>
      </c>
      <c r="H113" s="373">
        <f t="shared" si="140"/>
        <v>-9.150177284685914E-4</v>
      </c>
      <c r="I113" s="372"/>
    </row>
    <row r="114" spans="2:9" x14ac:dyDescent="0.25">
      <c r="B114" s="370">
        <v>42521</v>
      </c>
      <c r="C114" s="371">
        <v>160</v>
      </c>
      <c r="D114" s="372">
        <v>34.718000000000004</v>
      </c>
      <c r="E114" s="372">
        <v>35.76</v>
      </c>
      <c r="F114" s="372">
        <f t="shared" si="138"/>
        <v>166.71999999999912</v>
      </c>
      <c r="G114" s="372">
        <f t="shared" si="139"/>
        <v>5554.880000000001</v>
      </c>
      <c r="H114" s="373">
        <f t="shared" si="140"/>
        <v>3.0013249611152554E-2</v>
      </c>
      <c r="I114" s="372"/>
    </row>
    <row r="115" spans="2:9" x14ac:dyDescent="0.25">
      <c r="B115" s="370">
        <v>42527</v>
      </c>
      <c r="C115" s="371">
        <v>160</v>
      </c>
      <c r="D115" s="372">
        <v>34.652000000000001</v>
      </c>
      <c r="E115" s="372">
        <v>36.020000000000003</v>
      </c>
      <c r="F115" s="372">
        <f t="shared" si="138"/>
        <v>218.88000000000034</v>
      </c>
      <c r="G115" s="372">
        <f t="shared" si="139"/>
        <v>5544.32</v>
      </c>
      <c r="H115" s="373">
        <f t="shared" si="140"/>
        <v>3.9478240794182211E-2</v>
      </c>
      <c r="I115" s="372"/>
    </row>
    <row r="116" spans="2:9" x14ac:dyDescent="0.25">
      <c r="B116" s="370">
        <v>42498</v>
      </c>
      <c r="C116" s="371">
        <v>160</v>
      </c>
      <c r="D116" s="372">
        <v>34.652000000000001</v>
      </c>
      <c r="E116" s="372">
        <v>36.520000000000003</v>
      </c>
      <c r="F116" s="372">
        <f t="shared" si="138"/>
        <v>298.88000000000034</v>
      </c>
      <c r="G116" s="372">
        <f t="shared" si="139"/>
        <v>5544.32</v>
      </c>
      <c r="H116" s="373">
        <f t="shared" si="140"/>
        <v>5.3907422371003176E-2</v>
      </c>
      <c r="I116" s="372"/>
    </row>
    <row r="117" spans="2:9" x14ac:dyDescent="0.25">
      <c r="B117" s="370">
        <v>42531</v>
      </c>
      <c r="C117" s="371">
        <v>60</v>
      </c>
      <c r="D117" s="372">
        <v>30.757000000000001</v>
      </c>
      <c r="E117" s="372">
        <v>36.81</v>
      </c>
      <c r="F117" s="372">
        <f t="shared" si="138"/>
        <v>363.18000000000006</v>
      </c>
      <c r="G117" s="372">
        <f t="shared" si="139"/>
        <v>1845.42</v>
      </c>
      <c r="H117" s="373">
        <f t="shared" si="140"/>
        <v>0.1968007282894951</v>
      </c>
      <c r="I117" s="372"/>
    </row>
    <row r="118" spans="2:9" x14ac:dyDescent="0.25">
      <c r="B118" s="370">
        <v>42536</v>
      </c>
      <c r="C118" s="371">
        <v>160</v>
      </c>
      <c r="D118" s="372">
        <v>33.652999999999999</v>
      </c>
      <c r="E118" s="372">
        <v>35.71</v>
      </c>
      <c r="F118" s="372">
        <f t="shared" si="138"/>
        <v>329.12000000000035</v>
      </c>
      <c r="G118" s="372">
        <f t="shared" si="139"/>
        <v>5384.48</v>
      </c>
      <c r="H118" s="373">
        <f t="shared" si="140"/>
        <v>6.1123822541823976E-2</v>
      </c>
      <c r="I118" s="372"/>
    </row>
    <row r="119" spans="2:9" x14ac:dyDescent="0.25">
      <c r="B119" s="370">
        <v>42542</v>
      </c>
      <c r="C119" s="371">
        <v>160</v>
      </c>
      <c r="D119" s="372">
        <v>33.65</v>
      </c>
      <c r="E119" s="372">
        <v>34.71</v>
      </c>
      <c r="F119" s="372">
        <f t="shared" si="138"/>
        <v>169.60000000000036</v>
      </c>
      <c r="G119" s="372">
        <f t="shared" si="139"/>
        <v>5384</v>
      </c>
      <c r="H119" s="373">
        <f t="shared" si="140"/>
        <v>3.1500742942050589E-2</v>
      </c>
      <c r="I119" s="372"/>
    </row>
    <row r="120" spans="2:9" x14ac:dyDescent="0.25">
      <c r="B120" s="370">
        <v>42548</v>
      </c>
      <c r="C120" s="371">
        <v>160</v>
      </c>
      <c r="D120" s="372">
        <v>33.652999999999999</v>
      </c>
      <c r="E120" s="372">
        <v>36.619999999999997</v>
      </c>
      <c r="F120" s="372">
        <f t="shared" si="138"/>
        <v>474.7199999999998</v>
      </c>
      <c r="G120" s="372">
        <f t="shared" si="139"/>
        <v>5384.48</v>
      </c>
      <c r="H120" s="373">
        <f t="shared" si="140"/>
        <v>8.8164502421775148E-2</v>
      </c>
      <c r="I120" s="372"/>
    </row>
    <row r="121" spans="2:9" x14ac:dyDescent="0.25">
      <c r="B121" s="370">
        <v>42556</v>
      </c>
      <c r="C121" s="371">
        <v>160</v>
      </c>
      <c r="D121" s="372">
        <v>33.652999999999999</v>
      </c>
      <c r="E121" s="372">
        <v>37.33</v>
      </c>
      <c r="F121" s="372">
        <f t="shared" ref="F121:F163" si="141">C121*(E121-D121)</f>
        <v>588.31999999999994</v>
      </c>
      <c r="G121" s="372">
        <f t="shared" ref="G121:G134" si="142">D121*C121</f>
        <v>5384.48</v>
      </c>
      <c r="H121" s="373">
        <f t="shared" ref="H121:H163" si="143">(E121-D121)/D121</f>
        <v>0.10926217573470418</v>
      </c>
      <c r="I121" s="372"/>
    </row>
    <row r="122" spans="2:9" x14ac:dyDescent="0.25">
      <c r="B122" s="370">
        <v>42559</v>
      </c>
      <c r="C122" s="371">
        <v>160</v>
      </c>
      <c r="D122" s="372">
        <v>33.652999999999999</v>
      </c>
      <c r="E122" s="372">
        <v>37.86</v>
      </c>
      <c r="F122" s="372">
        <f t="shared" si="141"/>
        <v>673.12000000000012</v>
      </c>
      <c r="G122" s="372">
        <f t="shared" si="142"/>
        <v>5384.48</v>
      </c>
      <c r="H122" s="373">
        <f t="shared" si="143"/>
        <v>0.12501114313731318</v>
      </c>
      <c r="I122" s="372"/>
    </row>
    <row r="123" spans="2:9" x14ac:dyDescent="0.25">
      <c r="B123" s="370">
        <v>42563</v>
      </c>
      <c r="C123" s="371">
        <v>160</v>
      </c>
      <c r="D123" s="372">
        <v>33.652999999999999</v>
      </c>
      <c r="E123" s="372">
        <v>37.39</v>
      </c>
      <c r="F123" s="372">
        <f t="shared" si="141"/>
        <v>597.9200000000003</v>
      </c>
      <c r="G123" s="372">
        <f t="shared" si="142"/>
        <v>5384.48</v>
      </c>
      <c r="H123" s="373">
        <f t="shared" si="143"/>
        <v>0.11104507770481092</v>
      </c>
      <c r="I123" s="372"/>
    </row>
    <row r="124" spans="2:9" x14ac:dyDescent="0.25">
      <c r="B124" s="370">
        <v>42566</v>
      </c>
      <c r="C124" s="371">
        <v>160</v>
      </c>
      <c r="D124" s="372">
        <v>33.652999999999999</v>
      </c>
      <c r="E124" s="372">
        <v>36.71</v>
      </c>
      <c r="F124" s="372">
        <f t="shared" si="141"/>
        <v>489.12000000000035</v>
      </c>
      <c r="G124" s="372">
        <f t="shared" si="142"/>
        <v>5384.48</v>
      </c>
      <c r="H124" s="373">
        <f t="shared" si="143"/>
        <v>9.0838855376935257E-2</v>
      </c>
      <c r="I124" s="372"/>
    </row>
    <row r="125" spans="2:9" x14ac:dyDescent="0.25">
      <c r="B125" s="370">
        <v>42570</v>
      </c>
      <c r="C125" s="371">
        <v>160</v>
      </c>
      <c r="D125" s="372">
        <v>33.652999999999999</v>
      </c>
      <c r="E125" s="372">
        <v>36.21</v>
      </c>
      <c r="F125" s="372">
        <f t="shared" si="141"/>
        <v>409.12000000000035</v>
      </c>
      <c r="G125" s="372">
        <f t="shared" si="142"/>
        <v>5384.48</v>
      </c>
      <c r="H125" s="373">
        <f t="shared" si="143"/>
        <v>7.5981338959379613E-2</v>
      </c>
      <c r="I125" s="372"/>
    </row>
    <row r="126" spans="2:9" x14ac:dyDescent="0.25">
      <c r="B126" s="370">
        <v>42571</v>
      </c>
      <c r="C126" s="371">
        <v>160</v>
      </c>
      <c r="D126" s="372">
        <v>33.652999999999999</v>
      </c>
      <c r="E126" s="372">
        <v>36.4</v>
      </c>
      <c r="F126" s="372">
        <f t="shared" si="141"/>
        <v>439.52</v>
      </c>
      <c r="G126" s="372">
        <f t="shared" si="142"/>
        <v>5384.48</v>
      </c>
      <c r="H126" s="373">
        <f t="shared" si="143"/>
        <v>8.16271951980507E-2</v>
      </c>
      <c r="I126" s="372"/>
    </row>
    <row r="127" spans="2:9" x14ac:dyDescent="0.25">
      <c r="B127" s="370">
        <v>42572</v>
      </c>
      <c r="C127" s="371">
        <v>160</v>
      </c>
      <c r="D127" s="372">
        <v>33.652999999999999</v>
      </c>
      <c r="E127" s="372">
        <v>35.96</v>
      </c>
      <c r="F127" s="372">
        <f t="shared" si="141"/>
        <v>369.12000000000035</v>
      </c>
      <c r="G127" s="372">
        <f t="shared" si="142"/>
        <v>5384.48</v>
      </c>
      <c r="H127" s="373">
        <f t="shared" si="143"/>
        <v>6.8552580750601791E-2</v>
      </c>
      <c r="I127" s="372"/>
    </row>
    <row r="128" spans="2:9" x14ac:dyDescent="0.25">
      <c r="B128" s="370">
        <v>42576</v>
      </c>
      <c r="C128" s="371">
        <v>160</v>
      </c>
      <c r="D128" s="372">
        <v>33.652999999999999</v>
      </c>
      <c r="E128" s="372">
        <v>35.79</v>
      </c>
      <c r="F128" s="372">
        <f t="shared" si="141"/>
        <v>341.92000000000007</v>
      </c>
      <c r="G128" s="372">
        <f t="shared" si="142"/>
        <v>5384.48</v>
      </c>
      <c r="H128" s="373">
        <f t="shared" si="143"/>
        <v>6.3501025168632833E-2</v>
      </c>
      <c r="I128" s="372"/>
    </row>
    <row r="129" spans="2:9" x14ac:dyDescent="0.25">
      <c r="B129" s="370">
        <v>42577</v>
      </c>
      <c r="C129" s="371">
        <v>160</v>
      </c>
      <c r="D129" s="372">
        <v>33.652999999999999</v>
      </c>
      <c r="E129" s="372">
        <v>36.42</v>
      </c>
      <c r="F129" s="372">
        <f t="shared" si="141"/>
        <v>442.72000000000048</v>
      </c>
      <c r="G129" s="372">
        <f t="shared" si="142"/>
        <v>5384.48</v>
      </c>
      <c r="H129" s="373">
        <f t="shared" si="143"/>
        <v>8.222149585475301E-2</v>
      </c>
      <c r="I129" s="372"/>
    </row>
    <row r="130" spans="2:9" x14ac:dyDescent="0.25">
      <c r="B130" s="370">
        <v>42579</v>
      </c>
      <c r="C130" s="371">
        <v>230</v>
      </c>
      <c r="D130" s="372">
        <v>34.006</v>
      </c>
      <c r="E130" s="372">
        <v>34.4</v>
      </c>
      <c r="F130" s="372">
        <f t="shared" si="141"/>
        <v>90.619999999999621</v>
      </c>
      <c r="G130" s="372">
        <f t="shared" si="142"/>
        <v>7821.38</v>
      </c>
      <c r="H130" s="373">
        <f t="shared" si="143"/>
        <v>1.1586190672234263E-2</v>
      </c>
      <c r="I130" s="372"/>
    </row>
    <row r="131" spans="2:9" x14ac:dyDescent="0.25">
      <c r="B131" s="370">
        <v>42580</v>
      </c>
      <c r="C131" s="371">
        <v>260</v>
      </c>
      <c r="D131" s="372">
        <v>33.991999999999997</v>
      </c>
      <c r="E131" s="372">
        <v>34.19</v>
      </c>
      <c r="F131" s="372">
        <f t="shared" si="141"/>
        <v>51.480000000000103</v>
      </c>
      <c r="G131" s="372">
        <f t="shared" si="142"/>
        <v>8837.92</v>
      </c>
      <c r="H131" s="373">
        <f t="shared" si="143"/>
        <v>5.824899976465063E-3</v>
      </c>
      <c r="I131" s="372"/>
    </row>
    <row r="132" spans="2:9" x14ac:dyDescent="0.25">
      <c r="B132" s="370">
        <v>42584</v>
      </c>
      <c r="C132" s="371">
        <v>300</v>
      </c>
      <c r="D132" s="372">
        <v>33.866</v>
      </c>
      <c r="E132" s="372">
        <v>32.61</v>
      </c>
      <c r="F132" s="372">
        <f t="shared" si="141"/>
        <v>-376.80000000000007</v>
      </c>
      <c r="G132" s="372">
        <f t="shared" si="142"/>
        <v>10159.799999999999</v>
      </c>
      <c r="H132" s="373">
        <f t="shared" si="143"/>
        <v>-3.7087344239059829E-2</v>
      </c>
      <c r="I132" s="372"/>
    </row>
    <row r="133" spans="2:9" x14ac:dyDescent="0.25">
      <c r="B133" s="370">
        <v>42586</v>
      </c>
      <c r="C133" s="371">
        <v>400</v>
      </c>
      <c r="D133" s="372">
        <v>33.520000000000003</v>
      </c>
      <c r="E133" s="372">
        <v>32.549999999999997</v>
      </c>
      <c r="F133" s="372">
        <f t="shared" si="141"/>
        <v>-388.00000000000239</v>
      </c>
      <c r="G133" s="372">
        <f t="shared" si="142"/>
        <v>13408.000000000002</v>
      </c>
      <c r="H133" s="373">
        <f t="shared" si="143"/>
        <v>-2.8937947494033587E-2</v>
      </c>
      <c r="I133" s="372"/>
    </row>
    <row r="134" spans="2:9" x14ac:dyDescent="0.25">
      <c r="B134" s="370">
        <v>42587</v>
      </c>
      <c r="C134" s="371">
        <v>400</v>
      </c>
      <c r="D134" s="372">
        <v>33.387349999999998</v>
      </c>
      <c r="E134" s="372">
        <v>32.729999999999997</v>
      </c>
      <c r="F134" s="372">
        <f t="shared" si="141"/>
        <v>-262.9400000000004</v>
      </c>
      <c r="G134" s="372">
        <f t="shared" si="142"/>
        <v>13354.939999999999</v>
      </c>
      <c r="H134" s="373">
        <f t="shared" si="143"/>
        <v>-1.9688594632398231E-2</v>
      </c>
      <c r="I134" s="372"/>
    </row>
    <row r="135" spans="2:9" x14ac:dyDescent="0.25">
      <c r="B135" s="370">
        <v>42598</v>
      </c>
      <c r="C135" s="371">
        <v>400</v>
      </c>
      <c r="D135" s="372">
        <v>33.387349999999998</v>
      </c>
      <c r="E135" s="372">
        <v>32.1</v>
      </c>
      <c r="F135" s="372">
        <f t="shared" si="141"/>
        <v>-514.93999999999858</v>
      </c>
      <c r="G135" s="372">
        <f t="shared" ref="G135:G140" si="144">D135*C135</f>
        <v>13354.939999999999</v>
      </c>
      <c r="H135" s="373">
        <f t="shared" si="143"/>
        <v>-3.8558016733882636E-2</v>
      </c>
      <c r="I135" s="372"/>
    </row>
    <row r="136" spans="2:9" x14ac:dyDescent="0.25">
      <c r="B136" s="370">
        <v>42599</v>
      </c>
      <c r="C136" s="371">
        <v>500</v>
      </c>
      <c r="D136" s="372">
        <v>33.045879999999997</v>
      </c>
      <c r="E136" s="372">
        <v>31.88</v>
      </c>
      <c r="F136" s="372">
        <f t="shared" si="141"/>
        <v>-582.93999999999892</v>
      </c>
      <c r="G136" s="372">
        <f t="shared" si="144"/>
        <v>16522.939999999999</v>
      </c>
      <c r="H136" s="373">
        <f t="shared" si="143"/>
        <v>-3.5280646180401248E-2</v>
      </c>
      <c r="I136" s="372"/>
    </row>
    <row r="137" spans="2:9" x14ac:dyDescent="0.25">
      <c r="B137" s="370">
        <v>42600</v>
      </c>
      <c r="C137" s="371">
        <v>500</v>
      </c>
      <c r="D137" s="372">
        <v>33.045879999999997</v>
      </c>
      <c r="E137" s="372">
        <v>32.46</v>
      </c>
      <c r="F137" s="372">
        <f t="shared" si="141"/>
        <v>-292.93999999999801</v>
      </c>
      <c r="G137" s="372">
        <f t="shared" si="144"/>
        <v>16522.939999999999</v>
      </c>
      <c r="H137" s="373">
        <f t="shared" si="143"/>
        <v>-1.7729290307899079E-2</v>
      </c>
      <c r="I137" s="372"/>
    </row>
    <row r="138" spans="2:9" x14ac:dyDescent="0.25">
      <c r="B138" s="370">
        <v>42601</v>
      </c>
      <c r="C138" s="371">
        <v>500</v>
      </c>
      <c r="D138" s="372">
        <v>33.045879999999997</v>
      </c>
      <c r="E138" s="372">
        <v>32.61</v>
      </c>
      <c r="F138" s="372">
        <f t="shared" si="141"/>
        <v>-217.93999999999869</v>
      </c>
      <c r="G138" s="372">
        <f t="shared" si="144"/>
        <v>16522.939999999999</v>
      </c>
      <c r="H138" s="373">
        <f t="shared" si="143"/>
        <v>-1.3190146547769266E-2</v>
      </c>
      <c r="I138" s="372"/>
    </row>
    <row r="139" spans="2:9" x14ac:dyDescent="0.25">
      <c r="B139" s="370">
        <v>42604</v>
      </c>
      <c r="C139" s="371">
        <v>500</v>
      </c>
      <c r="D139" s="372">
        <v>33.045879999999997</v>
      </c>
      <c r="E139" s="372">
        <v>32.86</v>
      </c>
      <c r="F139" s="372">
        <f t="shared" si="141"/>
        <v>-92.93999999999869</v>
      </c>
      <c r="G139" s="372">
        <f t="shared" si="144"/>
        <v>16522.939999999999</v>
      </c>
      <c r="H139" s="373">
        <f t="shared" si="143"/>
        <v>-5.624906947552839E-3</v>
      </c>
      <c r="I139" s="372"/>
    </row>
    <row r="140" spans="2:9" x14ac:dyDescent="0.25">
      <c r="B140" s="370">
        <v>42605</v>
      </c>
      <c r="C140" s="371">
        <v>500</v>
      </c>
      <c r="D140" s="372">
        <v>33.045879999999997</v>
      </c>
      <c r="E140" s="372">
        <v>32.25</v>
      </c>
      <c r="F140" s="372">
        <f t="shared" si="141"/>
        <v>-397.93999999999841</v>
      </c>
      <c r="G140" s="372">
        <f t="shared" si="144"/>
        <v>16522.939999999999</v>
      </c>
      <c r="H140" s="373">
        <f t="shared" si="143"/>
        <v>-2.4084091572080902E-2</v>
      </c>
      <c r="I140" s="372"/>
    </row>
    <row r="141" spans="2:9" x14ac:dyDescent="0.25">
      <c r="B141" s="370">
        <v>42606</v>
      </c>
      <c r="C141" s="371">
        <v>500</v>
      </c>
      <c r="D141" s="372">
        <v>33.045879999999997</v>
      </c>
      <c r="E141" s="372">
        <v>32.99</v>
      </c>
      <c r="F141" s="372">
        <f t="shared" si="141"/>
        <v>-27.939999999997411</v>
      </c>
      <c r="G141" s="372">
        <f t="shared" ref="G141:G163" si="145">D141*C141</f>
        <v>16522.939999999999</v>
      </c>
      <c r="H141" s="373">
        <f t="shared" si="143"/>
        <v>-1.6909823554402191E-3</v>
      </c>
      <c r="I141" s="372"/>
    </row>
    <row r="142" spans="2:9" x14ac:dyDescent="0.25">
      <c r="B142" s="370">
        <v>42607</v>
      </c>
      <c r="C142" s="371">
        <v>500</v>
      </c>
      <c r="D142" s="372">
        <v>33.045879999999997</v>
      </c>
      <c r="E142" s="372">
        <v>32.76</v>
      </c>
      <c r="F142" s="372">
        <f t="shared" si="141"/>
        <v>-142.9399999999994</v>
      </c>
      <c r="G142" s="372">
        <f t="shared" si="145"/>
        <v>16522.939999999999</v>
      </c>
      <c r="H142" s="373">
        <f t="shared" si="143"/>
        <v>-8.6510027876394533E-3</v>
      </c>
      <c r="I142" s="372"/>
    </row>
    <row r="143" spans="2:9" x14ac:dyDescent="0.25">
      <c r="B143" s="370">
        <v>42611</v>
      </c>
      <c r="C143" s="371">
        <v>500</v>
      </c>
      <c r="D143" s="372">
        <v>33.045879999999997</v>
      </c>
      <c r="E143" s="372">
        <v>32.33</v>
      </c>
      <c r="F143" s="372">
        <f t="shared" si="141"/>
        <v>-357.93999999999926</v>
      </c>
      <c r="G143" s="372">
        <f t="shared" si="145"/>
        <v>16522.939999999999</v>
      </c>
      <c r="H143" s="373">
        <f t="shared" si="143"/>
        <v>-2.1663214900011697E-2</v>
      </c>
      <c r="I143" s="372"/>
    </row>
    <row r="144" spans="2:9" x14ac:dyDescent="0.25">
      <c r="B144" s="370">
        <v>42612</v>
      </c>
      <c r="C144" s="371">
        <v>500</v>
      </c>
      <c r="D144" s="372">
        <v>33.045879999999997</v>
      </c>
      <c r="E144" s="372">
        <v>32.159999999999997</v>
      </c>
      <c r="F144" s="372">
        <f t="shared" si="141"/>
        <v>-442.94000000000011</v>
      </c>
      <c r="G144" s="372">
        <f t="shared" si="145"/>
        <v>16522.939999999999</v>
      </c>
      <c r="H144" s="373">
        <f t="shared" si="143"/>
        <v>-2.6807577828158919E-2</v>
      </c>
      <c r="I144" s="372"/>
    </row>
    <row r="145" spans="2:9" x14ac:dyDescent="0.25">
      <c r="B145" s="370">
        <v>42614</v>
      </c>
      <c r="C145" s="371">
        <v>500</v>
      </c>
      <c r="D145" s="372">
        <v>33.045879999999997</v>
      </c>
      <c r="E145" s="372">
        <v>31.96</v>
      </c>
      <c r="F145" s="372">
        <f t="shared" si="141"/>
        <v>-542.93999999999801</v>
      </c>
      <c r="G145" s="372">
        <f t="shared" si="145"/>
        <v>16522.939999999999</v>
      </c>
      <c r="H145" s="373">
        <f t="shared" si="143"/>
        <v>-3.2859769508331936E-2</v>
      </c>
      <c r="I145" s="372"/>
    </row>
    <row r="146" spans="2:9" x14ac:dyDescent="0.25">
      <c r="B146" s="370">
        <v>42615</v>
      </c>
      <c r="C146" s="371">
        <v>500</v>
      </c>
      <c r="D146" s="372">
        <v>32.94988</v>
      </c>
      <c r="E146" s="372">
        <v>32.5</v>
      </c>
      <c r="F146" s="372">
        <f t="shared" si="141"/>
        <v>-224.94000000000014</v>
      </c>
      <c r="G146" s="372">
        <f t="shared" si="145"/>
        <v>16474.939999999999</v>
      </c>
      <c r="H146" s="373">
        <f t="shared" si="143"/>
        <v>-1.3653463988336233E-2</v>
      </c>
      <c r="I146" s="372" t="s">
        <v>185</v>
      </c>
    </row>
    <row r="147" spans="2:9" x14ac:dyDescent="0.25">
      <c r="B147" s="370">
        <v>42619</v>
      </c>
      <c r="C147" s="371">
        <v>500</v>
      </c>
      <c r="D147" s="372">
        <v>32.94988</v>
      </c>
      <c r="E147" s="372">
        <v>32.67</v>
      </c>
      <c r="F147" s="372">
        <f t="shared" si="141"/>
        <v>-139.93999999999929</v>
      </c>
      <c r="G147" s="372">
        <f t="shared" si="145"/>
        <v>16474.939999999999</v>
      </c>
      <c r="H147" s="373">
        <f t="shared" si="143"/>
        <v>-8.4941128768905548E-3</v>
      </c>
      <c r="I147" s="372"/>
    </row>
    <row r="148" spans="2:9" x14ac:dyDescent="0.25">
      <c r="B148" s="370">
        <v>42620</v>
      </c>
      <c r="C148" s="371">
        <v>600</v>
      </c>
      <c r="D148" s="372">
        <v>32.733229999999999</v>
      </c>
      <c r="E148" s="372">
        <v>31.32</v>
      </c>
      <c r="F148" s="372">
        <f t="shared" si="141"/>
        <v>-847.93799999999919</v>
      </c>
      <c r="G148" s="372">
        <f t="shared" si="145"/>
        <v>19639.937999999998</v>
      </c>
      <c r="H148" s="373">
        <f t="shared" si="143"/>
        <v>-4.3174168879759153E-2</v>
      </c>
      <c r="I148" s="372"/>
    </row>
    <row r="149" spans="2:9" x14ac:dyDescent="0.25">
      <c r="B149" s="370">
        <v>42620</v>
      </c>
      <c r="C149" s="371">
        <v>700</v>
      </c>
      <c r="D149" s="372">
        <v>32.511339999999997</v>
      </c>
      <c r="E149" s="372">
        <v>31.32</v>
      </c>
      <c r="F149" s="372">
        <f t="shared" si="141"/>
        <v>-833.93799999999771</v>
      </c>
      <c r="G149" s="372">
        <f t="shared" si="145"/>
        <v>22757.937999999998</v>
      </c>
      <c r="H149" s="373">
        <f t="shared" si="143"/>
        <v>-3.6643829506873504E-2</v>
      </c>
      <c r="I149" s="372"/>
    </row>
    <row r="150" spans="2:9" x14ac:dyDescent="0.25">
      <c r="B150" s="370">
        <v>42621</v>
      </c>
      <c r="C150" s="371">
        <v>700</v>
      </c>
      <c r="D150" s="372">
        <v>32.511339999999997</v>
      </c>
      <c r="E150" s="372">
        <v>31.31</v>
      </c>
      <c r="F150" s="372">
        <f t="shared" si="141"/>
        <v>-840.93799999999885</v>
      </c>
      <c r="G150" s="372">
        <f t="shared" si="145"/>
        <v>22757.937999999998</v>
      </c>
      <c r="H150" s="373">
        <f t="shared" si="143"/>
        <v>-3.6951414491066759E-2</v>
      </c>
      <c r="I150" s="372"/>
    </row>
    <row r="151" spans="2:9" x14ac:dyDescent="0.25">
      <c r="B151" s="370">
        <v>42622</v>
      </c>
      <c r="C151" s="371">
        <v>700</v>
      </c>
      <c r="D151" s="372">
        <v>32.511339999999997</v>
      </c>
      <c r="E151" s="372">
        <v>31.51</v>
      </c>
      <c r="F151" s="372">
        <f t="shared" si="141"/>
        <v>-700.9379999999968</v>
      </c>
      <c r="G151" s="372">
        <f t="shared" si="145"/>
        <v>22757.937999999998</v>
      </c>
      <c r="H151" s="373">
        <f t="shared" si="143"/>
        <v>-3.0799714807202519E-2</v>
      </c>
      <c r="I151" s="372"/>
    </row>
    <row r="152" spans="2:9" x14ac:dyDescent="0.25">
      <c r="B152" s="370">
        <v>42625</v>
      </c>
      <c r="C152" s="371">
        <v>800</v>
      </c>
      <c r="D152" s="372">
        <v>32.297429999999999</v>
      </c>
      <c r="E152" s="372">
        <v>30.89</v>
      </c>
      <c r="F152" s="372">
        <f t="shared" si="141"/>
        <v>-1125.9439999999984</v>
      </c>
      <c r="G152" s="372">
        <f t="shared" si="145"/>
        <v>25837.944</v>
      </c>
      <c r="H152" s="373">
        <f t="shared" si="143"/>
        <v>-4.3577151494716394E-2</v>
      </c>
      <c r="I152" s="372"/>
    </row>
    <row r="153" spans="2:9" x14ac:dyDescent="0.25">
      <c r="B153" s="370">
        <v>42632</v>
      </c>
      <c r="C153" s="371">
        <v>800</v>
      </c>
      <c r="D153" s="372">
        <v>32.297429999999999</v>
      </c>
      <c r="E153" s="372">
        <v>30.79</v>
      </c>
      <c r="F153" s="372">
        <f t="shared" si="141"/>
        <v>-1205.9439999999995</v>
      </c>
      <c r="G153" s="372">
        <f t="shared" si="145"/>
        <v>25837.944</v>
      </c>
      <c r="H153" s="373">
        <f t="shared" si="143"/>
        <v>-4.6673373082626063E-2</v>
      </c>
      <c r="I153" s="372"/>
    </row>
    <row r="154" spans="2:9" x14ac:dyDescent="0.25">
      <c r="B154" s="370">
        <v>42633</v>
      </c>
      <c r="C154" s="371">
        <v>800</v>
      </c>
      <c r="D154" s="372">
        <v>32.297429999999999</v>
      </c>
      <c r="E154" s="372">
        <v>31.09</v>
      </c>
      <c r="F154" s="372">
        <f t="shared" si="141"/>
        <v>-965.94399999999894</v>
      </c>
      <c r="G154" s="372">
        <f t="shared" si="145"/>
        <v>25837.944</v>
      </c>
      <c r="H154" s="373">
        <f t="shared" si="143"/>
        <v>-3.7384708318897161E-2</v>
      </c>
      <c r="I154" s="372"/>
    </row>
    <row r="155" spans="2:9" x14ac:dyDescent="0.25">
      <c r="B155" s="370">
        <v>42605</v>
      </c>
      <c r="C155" s="371">
        <v>800</v>
      </c>
      <c r="D155" s="372">
        <v>32.297429999999999</v>
      </c>
      <c r="E155" s="372">
        <v>30.45</v>
      </c>
      <c r="F155" s="372">
        <f t="shared" si="141"/>
        <v>-1477.9439999999995</v>
      </c>
      <c r="G155" s="372">
        <f t="shared" si="145"/>
        <v>25837.944</v>
      </c>
      <c r="H155" s="373">
        <f t="shared" si="143"/>
        <v>-5.7200526481518785E-2</v>
      </c>
      <c r="I155" s="372"/>
    </row>
    <row r="156" spans="2:9" x14ac:dyDescent="0.25">
      <c r="B156" s="370">
        <v>42639</v>
      </c>
      <c r="C156" s="371">
        <v>900</v>
      </c>
      <c r="D156" s="372">
        <v>32.05104</v>
      </c>
      <c r="E156" s="372">
        <v>30.08</v>
      </c>
      <c r="F156" s="372">
        <f t="shared" si="141"/>
        <v>-1773.936000000002</v>
      </c>
      <c r="G156" s="372">
        <f t="shared" si="145"/>
        <v>28845.936000000002</v>
      </c>
      <c r="H156" s="373">
        <f t="shared" si="143"/>
        <v>-6.14969124246827E-2</v>
      </c>
      <c r="I156" s="372"/>
    </row>
    <row r="157" spans="2:9" x14ac:dyDescent="0.25">
      <c r="B157" s="370">
        <v>42640</v>
      </c>
      <c r="C157" s="371">
        <v>900</v>
      </c>
      <c r="D157" s="372">
        <v>32.05104</v>
      </c>
      <c r="E157" s="372">
        <v>29.9</v>
      </c>
      <c r="F157" s="372">
        <f t="shared" si="141"/>
        <v>-1935.9360000000017</v>
      </c>
      <c r="G157" s="372">
        <f t="shared" si="145"/>
        <v>28845.936000000002</v>
      </c>
      <c r="H157" s="373">
        <f t="shared" si="143"/>
        <v>-6.7112954837034985E-2</v>
      </c>
      <c r="I157" s="372"/>
    </row>
    <row r="158" spans="2:9" x14ac:dyDescent="0.25">
      <c r="B158" s="370">
        <v>42641</v>
      </c>
      <c r="C158" s="371">
        <v>900</v>
      </c>
      <c r="D158" s="372">
        <v>32.05104</v>
      </c>
      <c r="E158" s="372">
        <v>29.84</v>
      </c>
      <c r="F158" s="372">
        <f t="shared" si="141"/>
        <v>-1989.9360000000006</v>
      </c>
      <c r="G158" s="372">
        <f t="shared" si="145"/>
        <v>28845.936000000002</v>
      </c>
      <c r="H158" s="373">
        <f t="shared" si="143"/>
        <v>-6.8984968974485708E-2</v>
      </c>
      <c r="I158" s="372"/>
    </row>
    <row r="159" spans="2:9" x14ac:dyDescent="0.25">
      <c r="B159" s="370">
        <v>42643</v>
      </c>
      <c r="C159" s="371">
        <v>900</v>
      </c>
      <c r="D159" s="372">
        <v>32.05104</v>
      </c>
      <c r="E159" s="372">
        <v>29.68</v>
      </c>
      <c r="F159" s="372">
        <f t="shared" si="141"/>
        <v>-2133.9360000000006</v>
      </c>
      <c r="G159" s="372">
        <f t="shared" si="145"/>
        <v>28845.936000000002</v>
      </c>
      <c r="H159" s="373">
        <f t="shared" si="143"/>
        <v>-7.3977006674354431E-2</v>
      </c>
      <c r="I159" s="372"/>
    </row>
    <row r="160" spans="2:9" x14ac:dyDescent="0.25">
      <c r="B160" s="370">
        <v>42646</v>
      </c>
      <c r="C160" s="371">
        <v>1000</v>
      </c>
      <c r="D160" s="372">
        <v>31.78594</v>
      </c>
      <c r="E160" s="372">
        <v>29.28</v>
      </c>
      <c r="F160" s="372">
        <f t="shared" si="141"/>
        <v>-2505.9399999999991</v>
      </c>
      <c r="G160" s="372">
        <f t="shared" si="145"/>
        <v>31785.94</v>
      </c>
      <c r="H160" s="373">
        <f t="shared" si="143"/>
        <v>-7.8838001959356835E-2</v>
      </c>
      <c r="I160" s="372"/>
    </row>
    <row r="161" spans="2:9" x14ac:dyDescent="0.25">
      <c r="B161" s="370">
        <v>42648</v>
      </c>
      <c r="C161" s="371">
        <v>1000</v>
      </c>
      <c r="D161" s="372">
        <v>31.78594</v>
      </c>
      <c r="E161" s="372">
        <v>28.84</v>
      </c>
      <c r="F161" s="372">
        <f t="shared" si="141"/>
        <v>-2945.94</v>
      </c>
      <c r="G161" s="372">
        <f t="shared" si="145"/>
        <v>31785.94</v>
      </c>
      <c r="H161" s="373">
        <f t="shared" si="143"/>
        <v>-9.2680600290568724E-2</v>
      </c>
      <c r="I161" s="372"/>
    </row>
    <row r="162" spans="2:9" x14ac:dyDescent="0.25">
      <c r="B162" s="370">
        <v>42649</v>
      </c>
      <c r="C162" s="371">
        <v>1000</v>
      </c>
      <c r="D162" s="372">
        <v>31.78594</v>
      </c>
      <c r="E162" s="372">
        <v>29.37</v>
      </c>
      <c r="F162" s="372">
        <f t="shared" si="141"/>
        <v>-2415.9399999999991</v>
      </c>
      <c r="G162" s="372">
        <f t="shared" si="145"/>
        <v>31785.94</v>
      </c>
      <c r="H162" s="373">
        <f t="shared" si="143"/>
        <v>-7.6006561391608968E-2</v>
      </c>
      <c r="I162" s="372"/>
    </row>
    <row r="163" spans="2:9" x14ac:dyDescent="0.25">
      <c r="B163" s="370">
        <v>42650</v>
      </c>
      <c r="C163" s="371">
        <v>1000</v>
      </c>
      <c r="D163" s="372">
        <v>31.78594</v>
      </c>
      <c r="E163" s="372">
        <v>29</v>
      </c>
      <c r="F163" s="372">
        <f t="shared" si="141"/>
        <v>-2785.94</v>
      </c>
      <c r="G163" s="372">
        <f t="shared" si="145"/>
        <v>31785.94</v>
      </c>
      <c r="H163" s="373">
        <f t="shared" si="143"/>
        <v>-8.7646928170128049E-2</v>
      </c>
      <c r="I163" s="372"/>
    </row>
    <row r="164" spans="2:9" x14ac:dyDescent="0.25">
      <c r="B164" s="370">
        <v>42661</v>
      </c>
      <c r="C164" s="371">
        <v>1000</v>
      </c>
      <c r="D164" s="372">
        <v>31.78594</v>
      </c>
      <c r="E164" s="372">
        <v>30.64</v>
      </c>
      <c r="F164" s="372">
        <f t="shared" ref="F164:F169" si="146">C164*(E164-D164)</f>
        <v>-1145.9399999999996</v>
      </c>
      <c r="G164" s="372">
        <f t="shared" ref="G164:G169" si="147">D164*C164</f>
        <v>31785.94</v>
      </c>
      <c r="H164" s="373">
        <f t="shared" ref="H164:H169" si="148">(E164-D164)/D164</f>
        <v>-3.6051788935611138E-2</v>
      </c>
      <c r="I164" s="372"/>
    </row>
    <row r="165" spans="2:9" x14ac:dyDescent="0.25">
      <c r="B165" s="370">
        <v>42671</v>
      </c>
      <c r="C165" s="371">
        <v>900</v>
      </c>
      <c r="D165" s="372">
        <v>31.837789999999998</v>
      </c>
      <c r="E165" s="372">
        <v>31.26</v>
      </c>
      <c r="F165" s="372">
        <f t="shared" si="146"/>
        <v>-520.01099999999701</v>
      </c>
      <c r="G165" s="372">
        <f t="shared" si="147"/>
        <v>28654.010999999999</v>
      </c>
      <c r="H165" s="373">
        <f t="shared" si="148"/>
        <v>-1.8147930493919232E-2</v>
      </c>
      <c r="I165" s="372"/>
    </row>
    <row r="166" spans="2:9" x14ac:dyDescent="0.25">
      <c r="B166" s="370">
        <v>42674</v>
      </c>
      <c r="C166" s="371">
        <v>1000</v>
      </c>
      <c r="D166" s="372">
        <v>31.763999999999999</v>
      </c>
      <c r="E166" s="372">
        <v>30.98</v>
      </c>
      <c r="F166" s="372">
        <f t="shared" si="146"/>
        <v>-783.99999999999886</v>
      </c>
      <c r="G166" s="372">
        <f t="shared" si="147"/>
        <v>31764</v>
      </c>
      <c r="H166" s="373">
        <f t="shared" si="148"/>
        <v>-2.468202997103636E-2</v>
      </c>
      <c r="I166" s="372"/>
    </row>
    <row r="167" spans="2:9" x14ac:dyDescent="0.25">
      <c r="B167" s="370">
        <v>42676</v>
      </c>
      <c r="C167" s="371">
        <v>500</v>
      </c>
      <c r="D167" s="372">
        <v>31.518719999999998</v>
      </c>
      <c r="E167" s="372">
        <v>32.22</v>
      </c>
      <c r="F167" s="372">
        <f t="shared" si="146"/>
        <v>350.64000000000027</v>
      </c>
      <c r="G167" s="372">
        <f t="shared" si="147"/>
        <v>15759.359999999999</v>
      </c>
      <c r="H167" s="373">
        <f t="shared" si="148"/>
        <v>2.2249634502923995E-2</v>
      </c>
      <c r="I167" s="372">
        <v>31</v>
      </c>
    </row>
    <row r="168" spans="2:9" x14ac:dyDescent="0.25">
      <c r="B168" s="370">
        <v>42677</v>
      </c>
      <c r="C168" s="371">
        <v>800</v>
      </c>
      <c r="D168" s="372">
        <v>31.51858</v>
      </c>
      <c r="E168" s="372">
        <v>31.02</v>
      </c>
      <c r="F168" s="372">
        <f t="shared" si="146"/>
        <v>-398.86400000000037</v>
      </c>
      <c r="G168" s="372">
        <f t="shared" si="147"/>
        <v>25214.864000000001</v>
      </c>
      <c r="H168" s="373">
        <f t="shared" si="148"/>
        <v>-1.5818606041262027E-2</v>
      </c>
      <c r="I168" s="372"/>
    </row>
    <row r="169" spans="2:9" x14ac:dyDescent="0.25">
      <c r="B169" s="370">
        <v>42701</v>
      </c>
      <c r="C169" s="371">
        <v>400</v>
      </c>
      <c r="D169" s="372">
        <v>30.677849999999999</v>
      </c>
      <c r="E169" s="372">
        <v>33.880000000000003</v>
      </c>
      <c r="F169" s="372">
        <f t="shared" si="146"/>
        <v>1280.8600000000013</v>
      </c>
      <c r="G169" s="372">
        <f t="shared" si="147"/>
        <v>12271.14</v>
      </c>
      <c r="H169" s="373">
        <f t="shared" si="148"/>
        <v>0.10437987016691207</v>
      </c>
      <c r="I169" s="372"/>
    </row>
    <row r="170" spans="2:9" x14ac:dyDescent="0.25">
      <c r="B170" s="370">
        <v>42704</v>
      </c>
      <c r="C170" s="371">
        <v>400</v>
      </c>
      <c r="D170" s="372">
        <v>30.677849999999999</v>
      </c>
      <c r="E170" s="372">
        <v>32.299999999999997</v>
      </c>
      <c r="F170" s="372">
        <f t="shared" ref="F170:F176" si="149">C170*(E170-D170)</f>
        <v>648.8599999999991</v>
      </c>
      <c r="G170" s="372">
        <f t="shared" ref="G170:G176" si="150">D170*C170</f>
        <v>12271.14</v>
      </c>
      <c r="H170" s="373">
        <f t="shared" ref="H170:H176" si="151">(E170-D170)/D170</f>
        <v>5.2876912821465581E-2</v>
      </c>
      <c r="I170" s="372"/>
    </row>
    <row r="171" spans="2:9" x14ac:dyDescent="0.25">
      <c r="B171" s="370">
        <v>42706</v>
      </c>
      <c r="C171" s="371">
        <v>400</v>
      </c>
      <c r="D171" s="372">
        <v>30.527850000000001</v>
      </c>
      <c r="E171" s="372">
        <v>33.299999999999997</v>
      </c>
      <c r="F171" s="372">
        <f t="shared" si="149"/>
        <v>1108.8599999999985</v>
      </c>
      <c r="G171" s="372">
        <f t="shared" si="150"/>
        <v>12211.14</v>
      </c>
      <c r="H171" s="373">
        <f t="shared" si="151"/>
        <v>9.0807246497869851E-2</v>
      </c>
      <c r="I171" s="372"/>
    </row>
    <row r="172" spans="2:9" x14ac:dyDescent="0.25">
      <c r="B172" s="370">
        <v>42712</v>
      </c>
      <c r="C172" s="371">
        <v>300</v>
      </c>
      <c r="D172" s="372">
        <v>29.297370000000001</v>
      </c>
      <c r="E172" s="372">
        <v>34.19</v>
      </c>
      <c r="F172" s="372">
        <f t="shared" si="149"/>
        <v>1467.7889999999991</v>
      </c>
      <c r="G172" s="372">
        <f t="shared" si="150"/>
        <v>8789.2109999999993</v>
      </c>
      <c r="H172" s="373">
        <f t="shared" si="151"/>
        <v>0.16699894905242338</v>
      </c>
      <c r="I172" s="372"/>
    </row>
    <row r="173" spans="2:9" x14ac:dyDescent="0.25">
      <c r="B173" s="370">
        <v>42713</v>
      </c>
      <c r="C173" s="371">
        <v>200</v>
      </c>
      <c r="D173" s="372">
        <v>26.551449999999999</v>
      </c>
      <c r="E173" s="372">
        <v>34.78</v>
      </c>
      <c r="F173" s="372">
        <f t="shared" si="149"/>
        <v>1645.7100000000005</v>
      </c>
      <c r="G173" s="372">
        <f t="shared" si="150"/>
        <v>5310.29</v>
      </c>
      <c r="H173" s="373">
        <f t="shared" si="151"/>
        <v>0.30990962828772073</v>
      </c>
      <c r="I173" s="372"/>
    </row>
    <row r="174" spans="2:9" x14ac:dyDescent="0.25">
      <c r="B174" s="370">
        <v>42716</v>
      </c>
      <c r="C174" s="371">
        <v>300</v>
      </c>
      <c r="D174" s="372">
        <v>29.0943</v>
      </c>
      <c r="E174" s="372">
        <v>34.22</v>
      </c>
      <c r="F174" s="372">
        <f t="shared" si="149"/>
        <v>1537.7099999999996</v>
      </c>
      <c r="G174" s="372">
        <f t="shared" si="150"/>
        <v>8728.2900000000009</v>
      </c>
      <c r="H174" s="373">
        <f t="shared" si="151"/>
        <v>0.17617540205469795</v>
      </c>
      <c r="I174" s="372"/>
    </row>
    <row r="175" spans="2:9" x14ac:dyDescent="0.25">
      <c r="B175" s="370">
        <v>42718</v>
      </c>
      <c r="C175" s="371">
        <v>100</v>
      </c>
      <c r="D175" s="372">
        <v>17.179500000000001</v>
      </c>
      <c r="E175" s="372">
        <v>34.72</v>
      </c>
      <c r="F175" s="372">
        <f t="shared" si="149"/>
        <v>1754.0499999999997</v>
      </c>
      <c r="G175" s="372">
        <f t="shared" si="150"/>
        <v>1717.95</v>
      </c>
      <c r="H175" s="373">
        <f t="shared" si="151"/>
        <v>1.021013417154166</v>
      </c>
      <c r="I175" s="372"/>
    </row>
    <row r="176" spans="2:9" x14ac:dyDescent="0.25">
      <c r="B176" s="370">
        <v>42718</v>
      </c>
      <c r="C176" s="371">
        <v>300</v>
      </c>
      <c r="D176" s="372">
        <v>28.9132</v>
      </c>
      <c r="E176" s="372">
        <v>34.72</v>
      </c>
      <c r="F176" s="372">
        <f t="shared" si="149"/>
        <v>1742.0399999999997</v>
      </c>
      <c r="G176" s="372">
        <f t="shared" si="150"/>
        <v>8673.9599999999991</v>
      </c>
      <c r="H176" s="373">
        <f t="shared" si="151"/>
        <v>0.20083560449898313</v>
      </c>
      <c r="I176" s="372"/>
    </row>
    <row r="177" spans="2:9" x14ac:dyDescent="0.25">
      <c r="B177" s="370">
        <v>42729</v>
      </c>
      <c r="C177" s="371">
        <v>300</v>
      </c>
      <c r="D177" s="372">
        <v>28.9132</v>
      </c>
      <c r="E177" s="372">
        <v>35.08</v>
      </c>
      <c r="F177" s="372">
        <f>C177*(E177-D177)</f>
        <v>1850.0399999999995</v>
      </c>
      <c r="G177" s="372">
        <f>D177*C177</f>
        <v>8673.9599999999991</v>
      </c>
      <c r="H177" s="373">
        <f>(E177-D177)/D177</f>
        <v>0.21328666491429515</v>
      </c>
      <c r="I177" s="372"/>
    </row>
    <row r="178" spans="2:9" x14ac:dyDescent="0.25">
      <c r="B178" s="370">
        <v>42745</v>
      </c>
      <c r="C178" s="371">
        <v>400</v>
      </c>
      <c r="D178" s="372">
        <v>30.12988</v>
      </c>
      <c r="E178" s="372">
        <v>33.19</v>
      </c>
      <c r="F178" s="372">
        <f>C178*(E178-D178)</f>
        <v>1224.0479999999991</v>
      </c>
      <c r="G178" s="372">
        <f>D178*C178</f>
        <v>12051.951999999999</v>
      </c>
      <c r="H178" s="373">
        <f>(E178-D178)/D178</f>
        <v>0.1015642943151449</v>
      </c>
      <c r="I178" s="372"/>
    </row>
    <row r="179" spans="2:9" x14ac:dyDescent="0.25">
      <c r="B179" s="370">
        <v>42752</v>
      </c>
      <c r="C179" s="371">
        <v>300</v>
      </c>
      <c r="D179" s="372">
        <v>28.620100000000001</v>
      </c>
      <c r="E179" s="372">
        <v>34.840000000000003</v>
      </c>
      <c r="F179" s="372">
        <f>C179*(E179-D179)</f>
        <v>1865.9700000000007</v>
      </c>
      <c r="G179" s="372">
        <f>D179*C179</f>
        <v>8586.0300000000007</v>
      </c>
      <c r="H179" s="373">
        <f>(E179-D179)/D179</f>
        <v>0.21732628467405782</v>
      </c>
      <c r="I179" s="372">
        <v>28.25</v>
      </c>
    </row>
    <row r="180" spans="2:9" x14ac:dyDescent="0.25">
      <c r="B180" s="370">
        <v>42754</v>
      </c>
      <c r="C180" s="371">
        <v>400</v>
      </c>
      <c r="D180" s="372">
        <v>30.032579999999999</v>
      </c>
      <c r="E180" s="372">
        <v>34.26</v>
      </c>
      <c r="F180" s="372">
        <f>C180*(E180-D180)</f>
        <v>1690.9679999999994</v>
      </c>
      <c r="G180" s="372">
        <f>D180*C180</f>
        <v>12013.031999999999</v>
      </c>
      <c r="H180" s="373">
        <f>(E180-D180)/D180</f>
        <v>0.14076113340911767</v>
      </c>
      <c r="I180" s="372"/>
    </row>
    <row r="198" spans="1:13" x14ac:dyDescent="0.25">
      <c r="L198" t="s">
        <v>65</v>
      </c>
      <c r="M198" s="2">
        <f>M226+K226-F226</f>
        <v>1747.9699999999939</v>
      </c>
    </row>
    <row r="199" spans="1:13" x14ac:dyDescent="0.25">
      <c r="A199" s="256" t="s">
        <v>1</v>
      </c>
      <c r="B199" s="256" t="s">
        <v>2</v>
      </c>
      <c r="C199" s="256" t="s">
        <v>4</v>
      </c>
      <c r="D199" s="257" t="s">
        <v>5</v>
      </c>
      <c r="E199" s="257" t="s">
        <v>94</v>
      </c>
      <c r="F199" s="257" t="s">
        <v>60</v>
      </c>
      <c r="G199" s="256" t="s">
        <v>3</v>
      </c>
      <c r="H199" s="256" t="s">
        <v>6</v>
      </c>
      <c r="I199" s="257" t="s">
        <v>7</v>
      </c>
      <c r="J199" s="257" t="s">
        <v>95</v>
      </c>
      <c r="K199" s="257" t="s">
        <v>61</v>
      </c>
      <c r="L199" s="256" t="s">
        <v>37</v>
      </c>
      <c r="M199" s="256" t="s">
        <v>38</v>
      </c>
    </row>
    <row r="200" spans="1:13" x14ac:dyDescent="0.25">
      <c r="A200" s="258" t="s">
        <v>196</v>
      </c>
      <c r="B200" s="259">
        <v>42482</v>
      </c>
      <c r="C200" s="254">
        <v>80</v>
      </c>
      <c r="D200" s="255">
        <v>36.01</v>
      </c>
      <c r="E200" s="255">
        <v>0</v>
      </c>
      <c r="F200" s="255">
        <f t="shared" ref="F200:F220" si="152">D200*C200+E200</f>
        <v>2880.7999999999997</v>
      </c>
      <c r="G200" s="259">
        <v>42514</v>
      </c>
      <c r="H200" s="254">
        <v>40</v>
      </c>
      <c r="I200" s="255">
        <v>35.35</v>
      </c>
      <c r="J200" s="255">
        <v>0.03</v>
      </c>
      <c r="K200" s="255">
        <f>I200*H200-J200</f>
        <v>1413.97</v>
      </c>
      <c r="L200" s="259">
        <v>42522</v>
      </c>
      <c r="M200" s="255">
        <v>10.5</v>
      </c>
    </row>
    <row r="201" spans="1:13" x14ac:dyDescent="0.25">
      <c r="A201" s="261" t="s">
        <v>71</v>
      </c>
      <c r="B201" s="259">
        <v>42482</v>
      </c>
      <c r="C201" s="254">
        <v>20</v>
      </c>
      <c r="D201" s="255">
        <v>35.549999999999997</v>
      </c>
      <c r="E201" s="255">
        <v>0</v>
      </c>
      <c r="F201" s="255">
        <f t="shared" si="152"/>
        <v>711</v>
      </c>
      <c r="G201" s="254"/>
      <c r="H201" s="254"/>
      <c r="I201" s="255"/>
      <c r="J201" s="255"/>
      <c r="K201" s="255"/>
      <c r="L201" s="259">
        <v>42614</v>
      </c>
      <c r="M201" s="255">
        <v>48</v>
      </c>
    </row>
    <row r="202" spans="1:13" x14ac:dyDescent="0.25">
      <c r="A202" s="254"/>
      <c r="B202" s="259">
        <v>42508</v>
      </c>
      <c r="C202" s="254">
        <v>40</v>
      </c>
      <c r="D202" s="255">
        <v>34.19</v>
      </c>
      <c r="E202" s="255">
        <v>0</v>
      </c>
      <c r="F202" s="255">
        <f t="shared" si="152"/>
        <v>1367.6</v>
      </c>
      <c r="G202" s="259">
        <v>42521</v>
      </c>
      <c r="H202" s="260">
        <v>40</v>
      </c>
      <c r="I202" s="255">
        <v>35.99</v>
      </c>
      <c r="J202" s="255">
        <v>0.03</v>
      </c>
      <c r="K202" s="255">
        <f t="shared" ref="K202:K217" si="153">I202*H202-J202</f>
        <v>1439.5700000000002</v>
      </c>
      <c r="L202" s="259">
        <v>42706</v>
      </c>
      <c r="M202" s="255">
        <v>60</v>
      </c>
    </row>
    <row r="203" spans="1:13" x14ac:dyDescent="0.25">
      <c r="A203" s="254"/>
      <c r="B203" s="259">
        <v>42509</v>
      </c>
      <c r="C203" s="254">
        <v>100</v>
      </c>
      <c r="D203" s="255">
        <v>34.49</v>
      </c>
      <c r="E203" s="255">
        <v>0</v>
      </c>
      <c r="F203" s="255">
        <f t="shared" si="152"/>
        <v>3449</v>
      </c>
      <c r="G203" s="259">
        <v>42531</v>
      </c>
      <c r="H203" s="260">
        <v>100</v>
      </c>
      <c r="I203" s="255">
        <v>36.99</v>
      </c>
      <c r="J203" s="255">
        <v>0.08</v>
      </c>
      <c r="K203" s="255">
        <f t="shared" si="153"/>
        <v>3698.92</v>
      </c>
      <c r="L203" s="254"/>
      <c r="M203" s="254"/>
    </row>
    <row r="204" spans="1:13" x14ac:dyDescent="0.25">
      <c r="A204" s="254"/>
      <c r="B204" s="259">
        <v>42536</v>
      </c>
      <c r="C204" s="254">
        <v>100</v>
      </c>
      <c r="D204" s="255">
        <v>35.39</v>
      </c>
      <c r="E204" s="255">
        <v>0</v>
      </c>
      <c r="F204" s="255">
        <f t="shared" si="152"/>
        <v>3539</v>
      </c>
      <c r="G204" s="259">
        <v>42594</v>
      </c>
      <c r="H204" s="260">
        <v>100</v>
      </c>
      <c r="I204" s="255">
        <v>32.58</v>
      </c>
      <c r="J204" s="255">
        <v>7.0000000000000007E-2</v>
      </c>
      <c r="K204" s="255">
        <f t="shared" si="153"/>
        <v>3257.93</v>
      </c>
      <c r="L204" s="254"/>
      <c r="M204" s="254"/>
    </row>
    <row r="205" spans="1:13" x14ac:dyDescent="0.25">
      <c r="A205" s="254"/>
      <c r="B205" s="259">
        <v>42579</v>
      </c>
      <c r="C205" s="254">
        <v>40</v>
      </c>
      <c r="D205" s="255">
        <v>35</v>
      </c>
      <c r="E205" s="255">
        <v>0</v>
      </c>
      <c r="F205" s="255">
        <f t="shared" si="152"/>
        <v>1400</v>
      </c>
      <c r="G205" s="259">
        <v>42671</v>
      </c>
      <c r="H205" s="260">
        <v>100</v>
      </c>
      <c r="I205" s="255">
        <v>31.32</v>
      </c>
      <c r="J205" s="255">
        <v>7.0000000000000007E-2</v>
      </c>
      <c r="K205" s="255">
        <f t="shared" si="153"/>
        <v>3131.93</v>
      </c>
      <c r="L205" s="254"/>
      <c r="M205" s="254"/>
    </row>
    <row r="206" spans="1:13" x14ac:dyDescent="0.25">
      <c r="A206" s="254"/>
      <c r="B206" s="259">
        <v>42579</v>
      </c>
      <c r="C206" s="254">
        <v>30</v>
      </c>
      <c r="D206" s="255">
        <v>34.57</v>
      </c>
      <c r="E206" s="255">
        <v>-7.0000000000000007E-2</v>
      </c>
      <c r="F206" s="255">
        <f t="shared" si="152"/>
        <v>1037.03</v>
      </c>
      <c r="G206" s="259">
        <v>42676</v>
      </c>
      <c r="H206" s="260">
        <v>200</v>
      </c>
      <c r="I206" s="255">
        <v>31.83</v>
      </c>
      <c r="J206" s="255">
        <v>0.14000000000000001</v>
      </c>
      <c r="K206" s="255">
        <f t="shared" si="153"/>
        <v>6365.86</v>
      </c>
      <c r="L206" s="254"/>
      <c r="M206" s="254"/>
    </row>
    <row r="207" spans="1:13" x14ac:dyDescent="0.25">
      <c r="A207" s="254"/>
      <c r="B207" s="259">
        <v>42580</v>
      </c>
      <c r="C207" s="254">
        <v>30</v>
      </c>
      <c r="D207" s="255">
        <v>33.880000000000003</v>
      </c>
      <c r="E207" s="255">
        <v>0</v>
      </c>
      <c r="F207" s="255">
        <f t="shared" si="152"/>
        <v>1016.4000000000001</v>
      </c>
      <c r="G207" s="259">
        <v>42676</v>
      </c>
      <c r="H207" s="260">
        <v>100</v>
      </c>
      <c r="I207" s="255">
        <v>31.98</v>
      </c>
      <c r="J207" s="255">
        <v>7.0000000000000007E-2</v>
      </c>
      <c r="K207" s="255">
        <f t="shared" si="153"/>
        <v>3197.93</v>
      </c>
      <c r="L207" s="254"/>
      <c r="M207" s="254"/>
    </row>
    <row r="208" spans="1:13" x14ac:dyDescent="0.25">
      <c r="A208" s="254"/>
      <c r="B208" s="259">
        <v>42584</v>
      </c>
      <c r="C208" s="254">
        <v>40</v>
      </c>
      <c r="D208" s="255">
        <v>33.049999999999997</v>
      </c>
      <c r="E208" s="255">
        <v>0</v>
      </c>
      <c r="F208" s="255">
        <f t="shared" si="152"/>
        <v>1322</v>
      </c>
      <c r="G208" s="259">
        <v>42676</v>
      </c>
      <c r="H208" s="260">
        <v>100</v>
      </c>
      <c r="I208" s="255">
        <v>32.18</v>
      </c>
      <c r="J208" s="255">
        <v>7.0000000000000007E-2</v>
      </c>
      <c r="K208" s="255">
        <f t="shared" si="153"/>
        <v>3217.93</v>
      </c>
      <c r="L208" s="254"/>
      <c r="M208" s="254"/>
    </row>
    <row r="209" spans="1:13" x14ac:dyDescent="0.25">
      <c r="A209" s="254"/>
      <c r="B209" s="259">
        <v>42586</v>
      </c>
      <c r="C209" s="254">
        <v>100</v>
      </c>
      <c r="D209" s="255">
        <v>32.479999999999997</v>
      </c>
      <c r="E209" s="255">
        <v>0</v>
      </c>
      <c r="F209" s="255">
        <f t="shared" si="152"/>
        <v>3247.9999999999995</v>
      </c>
      <c r="G209" s="259">
        <v>42676</v>
      </c>
      <c r="H209" s="260">
        <v>100</v>
      </c>
      <c r="I209" s="255">
        <v>32.229999999999997</v>
      </c>
      <c r="J209" s="255">
        <v>7.0000000000000007E-2</v>
      </c>
      <c r="K209" s="255">
        <f t="shared" si="153"/>
        <v>3222.9299999999994</v>
      </c>
      <c r="L209" s="254"/>
      <c r="M209" s="254"/>
    </row>
    <row r="210" spans="1:13" x14ac:dyDescent="0.25">
      <c r="A210" s="254"/>
      <c r="B210" s="259">
        <v>42593</v>
      </c>
      <c r="C210" s="254">
        <v>100</v>
      </c>
      <c r="D210" s="255">
        <v>32.049999999999997</v>
      </c>
      <c r="E210" s="255">
        <v>0</v>
      </c>
      <c r="F210" s="255">
        <f t="shared" si="152"/>
        <v>3204.9999999999995</v>
      </c>
      <c r="G210" s="259">
        <v>42683</v>
      </c>
      <c r="H210" s="260">
        <v>100</v>
      </c>
      <c r="I210" s="255">
        <v>32.33</v>
      </c>
      <c r="J210" s="255">
        <v>7.0000000000000007E-2</v>
      </c>
      <c r="K210" s="255">
        <f t="shared" si="153"/>
        <v>3232.93</v>
      </c>
      <c r="L210" s="254"/>
      <c r="M210" s="254"/>
    </row>
    <row r="211" spans="1:13" x14ac:dyDescent="0.25">
      <c r="A211" s="254"/>
      <c r="B211" s="259">
        <v>42599</v>
      </c>
      <c r="C211" s="254">
        <v>100</v>
      </c>
      <c r="D211" s="255">
        <v>31.68</v>
      </c>
      <c r="E211" s="255">
        <v>0</v>
      </c>
      <c r="F211" s="255">
        <f t="shared" si="152"/>
        <v>3168</v>
      </c>
      <c r="G211" s="259">
        <v>42683</v>
      </c>
      <c r="H211" s="260">
        <v>200</v>
      </c>
      <c r="I211" s="255">
        <v>32.08</v>
      </c>
      <c r="J211" s="255">
        <v>0.14000000000000001</v>
      </c>
      <c r="K211" s="255">
        <f t="shared" si="153"/>
        <v>6415.86</v>
      </c>
      <c r="L211" s="254"/>
      <c r="M211" s="254"/>
    </row>
    <row r="212" spans="1:13" x14ac:dyDescent="0.25">
      <c r="A212" s="254"/>
      <c r="B212" s="259">
        <v>42620</v>
      </c>
      <c r="C212" s="254">
        <v>100</v>
      </c>
      <c r="D212" s="255">
        <v>31.65</v>
      </c>
      <c r="E212" s="255">
        <v>0</v>
      </c>
      <c r="F212" s="255">
        <f t="shared" si="152"/>
        <v>3165</v>
      </c>
      <c r="G212" s="259">
        <v>42684</v>
      </c>
      <c r="H212" s="260">
        <v>100</v>
      </c>
      <c r="I212" s="255">
        <v>32.950000000000003</v>
      </c>
      <c r="J212" s="255">
        <v>7.0000000000000007E-2</v>
      </c>
      <c r="K212" s="255">
        <f t="shared" si="153"/>
        <v>3294.9300000000003</v>
      </c>
      <c r="L212" s="254"/>
      <c r="M212" s="254"/>
    </row>
    <row r="213" spans="1:13" x14ac:dyDescent="0.25">
      <c r="A213" s="254"/>
      <c r="B213" s="259">
        <v>42620</v>
      </c>
      <c r="C213" s="254">
        <v>100</v>
      </c>
      <c r="D213" s="255">
        <v>31.18</v>
      </c>
      <c r="E213" s="255">
        <v>0</v>
      </c>
      <c r="F213" s="255">
        <f t="shared" si="152"/>
        <v>3118</v>
      </c>
      <c r="G213" s="259">
        <v>42712</v>
      </c>
      <c r="H213" s="260">
        <v>100</v>
      </c>
      <c r="I213" s="255">
        <v>34.22</v>
      </c>
      <c r="J213" s="255">
        <v>7.0000000000000007E-2</v>
      </c>
      <c r="K213" s="255">
        <f t="shared" si="153"/>
        <v>3421.93</v>
      </c>
      <c r="L213" s="254"/>
      <c r="M213" s="254"/>
    </row>
    <row r="214" spans="1:13" x14ac:dyDescent="0.25">
      <c r="A214" s="254"/>
      <c r="B214" s="259">
        <v>42625</v>
      </c>
      <c r="C214" s="254">
        <v>100</v>
      </c>
      <c r="D214" s="255">
        <v>30.8</v>
      </c>
      <c r="E214" s="255">
        <v>0</v>
      </c>
      <c r="F214" s="255">
        <f t="shared" si="152"/>
        <v>3080</v>
      </c>
      <c r="G214" s="259">
        <v>42713</v>
      </c>
      <c r="H214" s="260">
        <v>100</v>
      </c>
      <c r="I214" s="255">
        <v>34.79</v>
      </c>
      <c r="J214" s="255">
        <v>0.08</v>
      </c>
      <c r="K214" s="255">
        <f t="shared" si="153"/>
        <v>3478.92</v>
      </c>
      <c r="L214" s="254"/>
      <c r="M214" s="254"/>
    </row>
    <row r="215" spans="1:13" x14ac:dyDescent="0.25">
      <c r="A215" s="254"/>
      <c r="B215" s="259">
        <v>42639</v>
      </c>
      <c r="C215" s="254">
        <v>100</v>
      </c>
      <c r="D215" s="255">
        <v>30.08</v>
      </c>
      <c r="E215" s="255">
        <v>0</v>
      </c>
      <c r="F215" s="255">
        <f t="shared" si="152"/>
        <v>3008</v>
      </c>
      <c r="G215" s="259">
        <v>42718</v>
      </c>
      <c r="H215" s="260">
        <v>100</v>
      </c>
      <c r="I215" s="255">
        <v>35.21</v>
      </c>
      <c r="J215" s="255">
        <v>0.57999999999999996</v>
      </c>
      <c r="K215" s="255">
        <f t="shared" si="153"/>
        <v>3520.42</v>
      </c>
      <c r="L215" s="254"/>
      <c r="M215" s="254"/>
    </row>
    <row r="216" spans="1:13" x14ac:dyDescent="0.25">
      <c r="A216" s="254"/>
      <c r="B216" s="259">
        <v>42646</v>
      </c>
      <c r="C216" s="254">
        <v>100</v>
      </c>
      <c r="D216" s="255">
        <v>29.4</v>
      </c>
      <c r="E216" s="255">
        <v>0</v>
      </c>
      <c r="F216" s="255">
        <f t="shared" si="152"/>
        <v>2940</v>
      </c>
      <c r="G216" s="259">
        <v>42718</v>
      </c>
      <c r="H216" s="260">
        <v>100</v>
      </c>
      <c r="I216" s="255">
        <v>34.9</v>
      </c>
      <c r="J216" s="255">
        <v>0.08</v>
      </c>
      <c r="K216" s="255">
        <f t="shared" si="153"/>
        <v>3489.92</v>
      </c>
      <c r="L216" s="254"/>
      <c r="M216" s="254"/>
    </row>
    <row r="217" spans="1:13" x14ac:dyDescent="0.25">
      <c r="A217" s="254"/>
      <c r="B217" s="259">
        <v>42674</v>
      </c>
      <c r="C217" s="254">
        <v>100</v>
      </c>
      <c r="D217" s="255">
        <v>31.1</v>
      </c>
      <c r="E217" s="255">
        <v>0</v>
      </c>
      <c r="F217" s="255">
        <f t="shared" si="152"/>
        <v>3110</v>
      </c>
      <c r="G217" s="259">
        <v>42752</v>
      </c>
      <c r="H217" s="260">
        <v>100</v>
      </c>
      <c r="I217" s="255">
        <v>34.659999999999997</v>
      </c>
      <c r="J217" s="255">
        <v>0.08</v>
      </c>
      <c r="K217" s="255">
        <f t="shared" si="153"/>
        <v>3465.9199999999996</v>
      </c>
      <c r="L217" s="254"/>
      <c r="M217" s="254"/>
    </row>
    <row r="218" spans="1:13" x14ac:dyDescent="0.25">
      <c r="A218" s="254"/>
      <c r="B218" s="259">
        <v>42677</v>
      </c>
      <c r="C218" s="254">
        <v>200</v>
      </c>
      <c r="D218" s="255">
        <v>31.68</v>
      </c>
      <c r="E218" s="255">
        <v>0</v>
      </c>
      <c r="F218" s="255">
        <f t="shared" si="152"/>
        <v>6336</v>
      </c>
      <c r="G218" s="254"/>
      <c r="H218" s="254"/>
      <c r="I218" s="255"/>
      <c r="J218" s="255"/>
      <c r="K218" s="255"/>
      <c r="L218" s="254"/>
      <c r="M218" s="254"/>
    </row>
    <row r="219" spans="1:13" x14ac:dyDescent="0.25">
      <c r="A219" s="254"/>
      <c r="B219" s="259">
        <v>42677</v>
      </c>
      <c r="C219" s="254">
        <v>100</v>
      </c>
      <c r="D219" s="255">
        <v>31.2</v>
      </c>
      <c r="E219" s="255">
        <v>-0.5</v>
      </c>
      <c r="F219" s="255">
        <f t="shared" si="152"/>
        <v>3119.5</v>
      </c>
      <c r="G219" s="254"/>
      <c r="H219" s="254"/>
      <c r="I219" s="255"/>
      <c r="J219" s="255"/>
      <c r="K219" s="255"/>
      <c r="L219" s="254"/>
      <c r="M219" s="254"/>
    </row>
    <row r="220" spans="1:13" x14ac:dyDescent="0.25">
      <c r="A220" s="254"/>
      <c r="B220" s="259">
        <v>42716</v>
      </c>
      <c r="C220" s="254">
        <v>100</v>
      </c>
      <c r="D220" s="255">
        <v>34.18</v>
      </c>
      <c r="E220" s="255">
        <v>0</v>
      </c>
      <c r="F220" s="255">
        <f t="shared" si="152"/>
        <v>3418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/>
      <c r="C221" s="254"/>
      <c r="D221" s="255"/>
      <c r="E221" s="255"/>
      <c r="F221" s="255"/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/>
      <c r="C222" s="254"/>
      <c r="D222" s="255"/>
      <c r="E222" s="255"/>
      <c r="F222" s="255"/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4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4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31" t="s">
        <v>81</v>
      </c>
      <c r="B226" s="14"/>
      <c r="C226" s="14">
        <f>SUM(C200:C223)</f>
        <v>1780</v>
      </c>
      <c r="D226" s="18"/>
      <c r="E226" s="18"/>
      <c r="F226" s="18">
        <f>SUM(F200:F223)</f>
        <v>57638.33</v>
      </c>
      <c r="G226" s="14"/>
      <c r="H226" s="14">
        <f>SUM(H200:H225)</f>
        <v>1780</v>
      </c>
      <c r="I226" s="18"/>
      <c r="J226" s="18"/>
      <c r="K226" s="18">
        <f>SUM(K200:K225)</f>
        <v>59267.799999999996</v>
      </c>
      <c r="L226" s="14"/>
      <c r="M226" s="18">
        <f>SUM(M200:M225)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1:F115">
    <cfRule type="expression" dxfId="1438" priority="69">
      <formula>F111&gt;0</formula>
    </cfRule>
    <cfRule type="expression" dxfId="1437" priority="70">
      <formula>F111&lt;0</formula>
    </cfRule>
  </conditionalFormatting>
  <conditionalFormatting sqref="F116:F129 F132:F176 F179:F180">
    <cfRule type="expression" dxfId="1436" priority="65">
      <formula>F116&gt;0</formula>
    </cfRule>
    <cfRule type="expression" dxfId="1435" priority="66">
      <formula>F116&lt;0</formula>
    </cfRule>
  </conditionalFormatting>
  <conditionalFormatting sqref="F116:F129 F132:F176 F179:F180">
    <cfRule type="expression" dxfId="1434" priority="67">
      <formula>F116&gt;0</formula>
    </cfRule>
    <cfRule type="expression" dxfId="1433" priority="68">
      <formula>F116&lt;0</formula>
    </cfRule>
  </conditionalFormatting>
  <conditionalFormatting sqref="H111:H129 H132:H176 H179:H180">
    <cfRule type="expression" dxfId="1432" priority="63">
      <formula>H111&gt;0</formula>
    </cfRule>
    <cfRule type="expression" dxfId="1431" priority="64">
      <formula>H111&lt;0</formula>
    </cfRule>
  </conditionalFormatting>
  <conditionalFormatting sqref="F107:F110">
    <cfRule type="expression" dxfId="1430" priority="57">
      <formula>F107&gt;0</formula>
    </cfRule>
    <cfRule type="expression" dxfId="1429" priority="58">
      <formula>F107&lt;0</formula>
    </cfRule>
  </conditionalFormatting>
  <conditionalFormatting sqref="H107:H110">
    <cfRule type="expression" dxfId="1428" priority="55">
      <formula>H107&gt;0</formula>
    </cfRule>
    <cfRule type="expression" dxfId="1427" priority="56">
      <formula>H107&lt;0</formula>
    </cfRule>
  </conditionalFormatting>
  <conditionalFormatting sqref="Q8">
    <cfRule type="expression" dxfId="1426" priority="51">
      <formula>Q8&gt;0</formula>
    </cfRule>
    <cfRule type="expression" dxfId="1425" priority="52">
      <formula>Q8&lt;0</formula>
    </cfRule>
  </conditionalFormatting>
  <conditionalFormatting sqref="Q7">
    <cfRule type="expression" dxfId="1424" priority="53">
      <formula>Q7&gt;0</formula>
    </cfRule>
    <cfRule type="expression" dxfId="1423" priority="54">
      <formula>Q7&lt;0</formula>
    </cfRule>
  </conditionalFormatting>
  <conditionalFormatting sqref="F130">
    <cfRule type="expression" dxfId="1422" priority="47">
      <formula>F130&gt;0</formula>
    </cfRule>
    <cfRule type="expression" dxfId="1421" priority="48">
      <formula>F130&lt;0</formula>
    </cfRule>
  </conditionalFormatting>
  <conditionalFormatting sqref="F130">
    <cfRule type="expression" dxfId="1420" priority="49">
      <formula>F130&gt;0</formula>
    </cfRule>
    <cfRule type="expression" dxfId="1419" priority="50">
      <formula>F130&lt;0</formula>
    </cfRule>
  </conditionalFormatting>
  <conditionalFormatting sqref="H130">
    <cfRule type="expression" dxfId="1418" priority="45">
      <formula>H130&gt;0</formula>
    </cfRule>
    <cfRule type="expression" dxfId="1417" priority="46">
      <formula>H130&lt;0</formula>
    </cfRule>
  </conditionalFormatting>
  <conditionalFormatting sqref="F131">
    <cfRule type="expression" dxfId="1416" priority="41">
      <formula>F131&gt;0</formula>
    </cfRule>
    <cfRule type="expression" dxfId="1415" priority="42">
      <formula>F131&lt;0</formula>
    </cfRule>
  </conditionalFormatting>
  <conditionalFormatting sqref="F131">
    <cfRule type="expression" dxfId="1414" priority="43">
      <formula>F131&gt;0</formula>
    </cfRule>
    <cfRule type="expression" dxfId="1413" priority="44">
      <formula>F131&lt;0</formula>
    </cfRule>
  </conditionalFormatting>
  <conditionalFormatting sqref="H131">
    <cfRule type="expression" dxfId="1412" priority="39">
      <formula>H131&gt;0</formula>
    </cfRule>
    <cfRule type="expression" dxfId="1411" priority="40">
      <formula>H131&lt;0</formula>
    </cfRule>
  </conditionalFormatting>
  <conditionalFormatting sqref="F177:F178">
    <cfRule type="expression" dxfId="1410" priority="35">
      <formula>F177&gt;0</formula>
    </cfRule>
    <cfRule type="expression" dxfId="1409" priority="36">
      <formula>F177&lt;0</formula>
    </cfRule>
  </conditionalFormatting>
  <conditionalFormatting sqref="F177:F178">
    <cfRule type="expression" dxfId="1408" priority="37">
      <formula>F177&gt;0</formula>
    </cfRule>
    <cfRule type="expression" dxfId="1407" priority="38">
      <formula>F177&lt;0</formula>
    </cfRule>
  </conditionalFormatting>
  <conditionalFormatting sqref="H177:H178">
    <cfRule type="expression" dxfId="1406" priority="33">
      <formula>H177&gt;0</formula>
    </cfRule>
    <cfRule type="expression" dxfId="1405" priority="34">
      <formula>H177&lt;0</formula>
    </cfRule>
  </conditionalFormatting>
  <conditionalFormatting sqref="F48:F63">
    <cfRule type="expression" dxfId="1404" priority="31">
      <formula>F48&gt;0</formula>
    </cfRule>
    <cfRule type="expression" dxfId="1403" priority="32">
      <formula>F48&lt;0</formula>
    </cfRule>
  </conditionalFormatting>
  <conditionalFormatting sqref="H48:H63">
    <cfRule type="expression" dxfId="1402" priority="29">
      <formula>H48&gt;0</formula>
    </cfRule>
    <cfRule type="expression" dxfId="1401" priority="30">
      <formula>H48&lt;0</formula>
    </cfRule>
  </conditionalFormatting>
  <conditionalFormatting sqref="Q10">
    <cfRule type="expression" dxfId="1400" priority="27">
      <formula>Q10&gt;0</formula>
    </cfRule>
    <cfRule type="expression" dxfId="1399" priority="28">
      <formula>Q10&lt;0</formula>
    </cfRule>
  </conditionalFormatting>
  <conditionalFormatting sqref="J58:K58">
    <cfRule type="expression" dxfId="1398" priority="25">
      <formula>J58&gt;0</formula>
    </cfRule>
    <cfRule type="expression" dxfId="1397" priority="26">
      <formula>J58&lt;0</formula>
    </cfRule>
  </conditionalFormatting>
  <conditionalFormatting sqref="K59">
    <cfRule type="expression" dxfId="1396" priority="23">
      <formula>K59&gt;0</formula>
    </cfRule>
    <cfRule type="expression" dxfId="1395" priority="24">
      <formula>K59&lt;0</formula>
    </cfRule>
  </conditionalFormatting>
  <conditionalFormatting sqref="K60:K73 K78:K104">
    <cfRule type="expression" dxfId="1394" priority="21">
      <formula>K60&gt;0</formula>
    </cfRule>
    <cfRule type="expression" dxfId="1393" priority="22">
      <formula>K60&lt;0</formula>
    </cfRule>
  </conditionalFormatting>
  <conditionalFormatting sqref="F65:F73">
    <cfRule type="expression" dxfId="1392" priority="19">
      <formula>F65&gt;0</formula>
    </cfRule>
    <cfRule type="expression" dxfId="1391" priority="20">
      <formula>F65&lt;0</formula>
    </cfRule>
  </conditionalFormatting>
  <conditionalFormatting sqref="H65:H73">
    <cfRule type="expression" dxfId="1390" priority="17">
      <formula>H65&gt;0</formula>
    </cfRule>
    <cfRule type="expression" dxfId="1389" priority="18">
      <formula>H65&lt;0</formula>
    </cfRule>
  </conditionalFormatting>
  <conditionalFormatting sqref="R4">
    <cfRule type="expression" dxfId="1388" priority="15">
      <formula>R4&gt;0</formula>
    </cfRule>
    <cfRule type="expression" dxfId="1387" priority="16">
      <formula>R4&lt;0</formula>
    </cfRule>
  </conditionalFormatting>
  <conditionalFormatting sqref="Q9">
    <cfRule type="expression" dxfId="1386" priority="13">
      <formula>Q9&gt;0</formula>
    </cfRule>
    <cfRule type="expression" dxfId="1385" priority="14">
      <formula>Q9&lt;0</formula>
    </cfRule>
  </conditionalFormatting>
  <conditionalFormatting sqref="K74:K77">
    <cfRule type="expression" dxfId="1384" priority="11">
      <formula>K74&gt;0</formula>
    </cfRule>
    <cfRule type="expression" dxfId="1383" priority="12">
      <formula>K74&lt;0</formula>
    </cfRule>
  </conditionalFormatting>
  <conditionalFormatting sqref="F74:F97">
    <cfRule type="expression" dxfId="1382" priority="9">
      <formula>F74&gt;0</formula>
    </cfRule>
    <cfRule type="expression" dxfId="1381" priority="10">
      <formula>F74&lt;0</formula>
    </cfRule>
  </conditionalFormatting>
  <conditionalFormatting sqref="H74:H97">
    <cfRule type="expression" dxfId="1380" priority="7">
      <formula>H74&gt;0</formula>
    </cfRule>
    <cfRule type="expression" dxfId="1379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1">
    <cfRule type="expression" dxfId="1378" priority="3">
      <formula>F98&gt;0</formula>
    </cfRule>
    <cfRule type="expression" dxfId="1377" priority="4">
      <formula>F98&lt;0</formula>
    </cfRule>
  </conditionalFormatting>
  <conditionalFormatting sqref="H98:H101">
    <cfRule type="expression" dxfId="1376" priority="1">
      <formula>H98&gt;0</formula>
    </cfRule>
    <cfRule type="expression" dxfId="1375" priority="2">
      <formula>H98&lt;0</formula>
    </cfRule>
  </conditionalFormatting>
  <hyperlinks>
    <hyperlink ref="A3" location="ACTIVE!A1" display="Back"/>
    <hyperlink ref="A20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10.24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10.24</v>
      </c>
      <c r="R4" s="487">
        <v>-4.3900000000000002E-2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11.264000000000001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11.161600000000002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11.059200000000001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10.956800000000001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10.8544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10.752000000000001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10.649600000000001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10.5472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10.444800000000001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10.3424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10.24</v>
      </c>
      <c r="Q51" s="2"/>
      <c r="T51" s="91" t="s">
        <v>104</v>
      </c>
      <c r="U51" s="86" t="s">
        <v>627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10.137600000000001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10.0352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9.9328000000000003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9.8303999999999991</v>
      </c>
      <c r="T55" s="91" t="s">
        <v>107</v>
      </c>
      <c r="U55" s="86" t="s">
        <v>628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9.7279999999999998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9.6256000000000004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9.523200000000001</v>
      </c>
      <c r="T58" s="91" t="s">
        <v>108</v>
      </c>
      <c r="U58" s="86" t="s">
        <v>556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9.4207999999999998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9.3184000000000005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9.2160000000000011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74" priority="31">
      <formula>Q7&gt;0</formula>
    </cfRule>
    <cfRule type="expression" dxfId="1373" priority="32">
      <formula>Q7&lt;0</formula>
    </cfRule>
  </conditionalFormatting>
  <conditionalFormatting sqref="Q8">
    <cfRule type="expression" dxfId="1372" priority="29">
      <formula>Q8&gt;0</formula>
    </cfRule>
    <cfRule type="expression" dxfId="1371" priority="30">
      <formula>Q8&lt;0</formula>
    </cfRule>
  </conditionalFormatting>
  <conditionalFormatting sqref="F62:F65">
    <cfRule type="expression" dxfId="1370" priority="21">
      <formula>F62&gt;0</formula>
    </cfRule>
    <cfRule type="expression" dxfId="1369" priority="22">
      <formula>F62&lt;0</formula>
    </cfRule>
  </conditionalFormatting>
  <conditionalFormatting sqref="F66:F74 F78:F98 F102:F106">
    <cfRule type="expression" dxfId="1368" priority="17">
      <formula>F66&gt;0</formula>
    </cfRule>
    <cfRule type="expression" dxfId="1367" priority="18">
      <formula>F66&lt;0</formula>
    </cfRule>
  </conditionalFormatting>
  <conditionalFormatting sqref="F66:F74 F78:F98 F102:F106">
    <cfRule type="expression" dxfId="1366" priority="19">
      <formula>F66&gt;0</formula>
    </cfRule>
    <cfRule type="expression" dxfId="1365" priority="20">
      <formula>F66&lt;0</formula>
    </cfRule>
  </conditionalFormatting>
  <conditionalFormatting sqref="H62:H74 H78:H98 H102:H106">
    <cfRule type="expression" dxfId="1364" priority="15">
      <formula>H62&gt;0</formula>
    </cfRule>
    <cfRule type="expression" dxfId="1363" priority="16">
      <formula>H62&lt;0</formula>
    </cfRule>
  </conditionalFormatting>
  <conditionalFormatting sqref="F57:F61">
    <cfRule type="expression" dxfId="1362" priority="13">
      <formula>F57&gt;0</formula>
    </cfRule>
    <cfRule type="expression" dxfId="1361" priority="14">
      <formula>F57&lt;0</formula>
    </cfRule>
  </conditionalFormatting>
  <conditionalFormatting sqref="H57:H61">
    <cfRule type="expression" dxfId="1360" priority="11">
      <formula>H57&gt;0</formula>
    </cfRule>
    <cfRule type="expression" dxfId="1359" priority="12">
      <formula>H57&lt;0</formula>
    </cfRule>
  </conditionalFormatting>
  <conditionalFormatting sqref="F75:F77">
    <cfRule type="expression" dxfId="1358" priority="7">
      <formula>F75&gt;0</formula>
    </cfRule>
    <cfRule type="expression" dxfId="1357" priority="8">
      <formula>F75&lt;0</formula>
    </cfRule>
  </conditionalFormatting>
  <conditionalFormatting sqref="F75:F77">
    <cfRule type="expression" dxfId="1356" priority="9">
      <formula>F75&gt;0</formula>
    </cfRule>
    <cfRule type="expression" dxfId="1355" priority="10">
      <formula>F75&lt;0</formula>
    </cfRule>
  </conditionalFormatting>
  <conditionalFormatting sqref="H75:H77">
    <cfRule type="expression" dxfId="1354" priority="5">
      <formula>H75&gt;0</formula>
    </cfRule>
    <cfRule type="expression" dxfId="1353" priority="6">
      <formula>H75&lt;0</formula>
    </cfRule>
  </conditionalFormatting>
  <conditionalFormatting sqref="F22:F30">
    <cfRule type="expression" dxfId="1352" priority="3">
      <formula>F22&gt;0</formula>
    </cfRule>
    <cfRule type="expression" dxfId="1351" priority="4">
      <formula>F22&lt;0</formula>
    </cfRule>
  </conditionalFormatting>
  <conditionalFormatting sqref="F99:F101">
    <cfRule type="expression" dxfId="1350" priority="1">
      <formula>F99&gt;0</formula>
    </cfRule>
    <cfRule type="expression" dxfId="134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130.38999999999999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130.38999999999999</v>
      </c>
      <c r="R4" s="487">
        <v>-5.2900000000000003E-2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143.429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142.1251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140.8212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139.51730000000001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138.21339999999998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136.90949999999998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135.60559999999998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134.30169999999998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132.99779999999998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131.69389999999999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130.38999999999999</v>
      </c>
      <c r="Q51" s="2"/>
      <c r="T51" s="91" t="s">
        <v>104</v>
      </c>
      <c r="U51" s="127" t="s">
        <v>629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129.08609999999999</v>
      </c>
      <c r="Q52" s="2"/>
      <c r="T52" s="91" t="s">
        <v>105</v>
      </c>
      <c r="U52" s="127" t="s">
        <v>630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127.78219999999999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126.47829999999999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125.17439999999998</v>
      </c>
      <c r="T55" s="91" t="s">
        <v>107</v>
      </c>
      <c r="U55" s="127" t="s">
        <v>631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123.87049999999998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122.56659999999998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121.2627</v>
      </c>
      <c r="T58" s="91" t="s">
        <v>108</v>
      </c>
      <c r="U58" s="127" t="s">
        <v>564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119.9588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118.6549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117.35099999999998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348" priority="19">
      <formula>F25&gt;0</formula>
    </cfRule>
    <cfRule type="expression" dxfId="1347" priority="20">
      <formula>F25&lt;0</formula>
    </cfRule>
  </conditionalFormatting>
  <conditionalFormatting sqref="Q7">
    <cfRule type="expression" dxfId="1346" priority="17">
      <formula>Q7&gt;0</formula>
    </cfRule>
    <cfRule type="expression" dxfId="1345" priority="18">
      <formula>Q7&lt;0</formula>
    </cfRule>
  </conditionalFormatting>
  <conditionalFormatting sqref="Q8">
    <cfRule type="expression" dxfId="1344" priority="15">
      <formula>Q8&gt;0</formula>
    </cfRule>
    <cfRule type="expression" dxfId="1343" priority="16">
      <formula>Q8&lt;0</formula>
    </cfRule>
  </conditionalFormatting>
  <conditionalFormatting sqref="M74">
    <cfRule type="expression" dxfId="1342" priority="9">
      <formula>M74&gt;0</formula>
    </cfRule>
    <cfRule type="expression" dxfId="1341" priority="10">
      <formula>M74&lt;0</formula>
    </cfRule>
  </conditionalFormatting>
  <conditionalFormatting sqref="F113:F149 H113:H149">
    <cfRule type="expression" dxfId="1340" priority="7">
      <formula>F113&gt;0</formula>
    </cfRule>
    <cfRule type="expression" dxfId="1339" priority="8">
      <formula>F113&lt;0</formula>
    </cfRule>
  </conditionalFormatting>
  <conditionalFormatting sqref="F105:F112">
    <cfRule type="expression" dxfId="1338" priority="5">
      <formula>F105&gt;0</formula>
    </cfRule>
    <cfRule type="expression" dxfId="1337" priority="6">
      <formula>F105&lt;0</formula>
    </cfRule>
  </conditionalFormatting>
  <conditionalFormatting sqref="H105:H112">
    <cfRule type="expression" dxfId="1336" priority="3">
      <formula>H105&gt;0</formula>
    </cfRule>
    <cfRule type="expression" dxfId="1335" priority="4">
      <formula>H105&lt;0</formula>
    </cfRule>
  </conditionalFormatting>
  <conditionalFormatting sqref="Q10">
    <cfRule type="expression" dxfId="1334" priority="1">
      <formula>Q10&gt;0</formula>
    </cfRule>
    <cfRule type="expression" dxfId="1333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445">
        <v>43020</v>
      </c>
      <c r="C2" s="7">
        <v>10</v>
      </c>
      <c r="D2" s="43">
        <v>190.16</v>
      </c>
      <c r="E2" s="43">
        <v>0</v>
      </c>
      <c r="F2" s="43">
        <f t="shared" ref="F2:F8" si="0"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55</v>
      </c>
      <c r="T2" s="1">
        <v>43080</v>
      </c>
      <c r="U2" t="s">
        <v>878</v>
      </c>
    </row>
    <row r="3" spans="1:21" x14ac:dyDescent="0.25">
      <c r="A3" s="22" t="s">
        <v>71</v>
      </c>
      <c r="B3" s="445">
        <v>43021</v>
      </c>
      <c r="C3" s="4">
        <v>15</v>
      </c>
      <c r="D3" s="3">
        <v>188.9</v>
      </c>
      <c r="E3" s="3">
        <v>0</v>
      </c>
      <c r="F3" s="3">
        <f t="shared" si="0"/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204.65872727272728</v>
      </c>
      <c r="T3" s="1"/>
    </row>
    <row r="4" spans="1:21" x14ac:dyDescent="0.25">
      <c r="B4" s="72">
        <v>43021</v>
      </c>
      <c r="C4" s="4">
        <v>5</v>
      </c>
      <c r="D4" s="3">
        <v>188.9</v>
      </c>
      <c r="E4" s="3">
        <v>0</v>
      </c>
      <c r="F4" s="3">
        <f t="shared" si="0"/>
        <v>944.5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212.99</v>
      </c>
      <c r="R4" s="509">
        <v>-2.9499999999999998E-2</v>
      </c>
      <c r="T4" s="792">
        <v>43103</v>
      </c>
      <c r="U4" s="30" t="s">
        <v>903</v>
      </c>
    </row>
    <row r="5" spans="1:21" x14ac:dyDescent="0.25">
      <c r="B5" s="48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11714.45</v>
      </c>
    </row>
    <row r="6" spans="1:21" x14ac:dyDescent="0.25">
      <c r="B6" s="486">
        <v>43122</v>
      </c>
      <c r="C6" s="4">
        <v>15</v>
      </c>
      <c r="D6" s="3">
        <v>233.88</v>
      </c>
      <c r="E6" s="3">
        <v>0</v>
      </c>
      <c r="F6" s="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11256.23</v>
      </c>
    </row>
    <row r="7" spans="1:21" x14ac:dyDescent="0.25">
      <c r="B7" s="486">
        <v>43123</v>
      </c>
      <c r="C7" s="4">
        <v>10</v>
      </c>
      <c r="D7" s="3">
        <v>228.88</v>
      </c>
      <c r="E7" s="3">
        <v>0</v>
      </c>
      <c r="F7" s="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682.9900000000016</v>
      </c>
      <c r="R7">
        <v>5</v>
      </c>
    </row>
    <row r="8" spans="1:21" x14ac:dyDescent="0.25">
      <c r="B8" s="486">
        <v>43132</v>
      </c>
      <c r="C8" s="4">
        <v>10</v>
      </c>
      <c r="D8" s="3">
        <v>220</v>
      </c>
      <c r="E8" s="3">
        <v>0</v>
      </c>
      <c r="F8" s="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458.22000000000116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4.0708123412545871E-2</v>
      </c>
      <c r="T9" s="159">
        <v>43174</v>
      </c>
      <c r="U9" t="s">
        <v>82</v>
      </c>
    </row>
    <row r="10" spans="1:21" x14ac:dyDescent="0.25"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17159.3</v>
      </c>
      <c r="G18" s="14"/>
      <c r="H18" s="71">
        <f>SUM(H2:H5)</f>
        <v>25</v>
      </c>
      <c r="I18" s="18"/>
      <c r="J18" s="18"/>
      <c r="K18" s="18">
        <f>SUM(K2:K5)</f>
        <v>5903.07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25</v>
      </c>
      <c r="I19" s="349"/>
      <c r="J19" s="349"/>
      <c r="K19" s="350">
        <f>SumByColor($A$19,K2:K17)</f>
        <v>5903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1">C25*(E25-D25)</f>
        <v>277.80000000000058</v>
      </c>
      <c r="G25" s="39">
        <f t="shared" ref="G25" si="2">D25*C25</f>
        <v>5679.5999999999995</v>
      </c>
      <c r="H25" s="226">
        <f t="shared" ref="H25" si="3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4">C26*(E26-D26)</f>
        <v>391.20000000000061</v>
      </c>
      <c r="G26" s="39">
        <f t="shared" ref="G26" si="5">D26*C26</f>
        <v>5679.5999999999995</v>
      </c>
      <c r="H26" s="226">
        <f t="shared" ref="H26" si="6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7">
        <v>30</v>
      </c>
      <c r="D27" s="43">
        <v>189.32</v>
      </c>
      <c r="E27" s="43">
        <v>229.63</v>
      </c>
      <c r="F27" s="39">
        <f t="shared" ref="F27" si="7">C27*(E27-D27)</f>
        <v>1209.3000000000002</v>
      </c>
      <c r="G27" s="39">
        <f t="shared" ref="G27" si="8">D27*C27</f>
        <v>5679.5999999999995</v>
      </c>
      <c r="H27" s="226">
        <f t="shared" ref="H27" si="9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0">C28*(E28-D28)</f>
        <v>1602.7500000000005</v>
      </c>
      <c r="G28" s="39">
        <f t="shared" ref="G28" si="11">D28*C28</f>
        <v>3299.6499999999996</v>
      </c>
      <c r="H28" s="226">
        <f t="shared" ref="H28" si="12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3">C29*(E29-D29)</f>
        <v>1459.5500000000004</v>
      </c>
      <c r="G29" s="39">
        <f t="shared" ref="G29:G33" si="14">D29*C29</f>
        <v>3299.6499999999996</v>
      </c>
      <c r="H29" s="226">
        <f t="shared" ref="H29:H33" si="15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3"/>
        <v>1307.5509999999999</v>
      </c>
      <c r="G30" s="39">
        <f t="shared" si="14"/>
        <v>6782.3489999999993</v>
      </c>
      <c r="H30" s="226">
        <f t="shared" si="15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3"/>
        <v>1487.77</v>
      </c>
      <c r="G31" s="39">
        <f t="shared" si="14"/>
        <v>3259.23</v>
      </c>
      <c r="H31" s="226">
        <f t="shared" si="15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3"/>
        <v>1457.9214999999999</v>
      </c>
      <c r="G32" s="39">
        <f t="shared" si="14"/>
        <v>6767.4285</v>
      </c>
      <c r="H32" s="226">
        <f t="shared" si="15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3"/>
        <v>1239.3180000000002</v>
      </c>
      <c r="G33" s="39">
        <f t="shared" si="14"/>
        <v>9056.232</v>
      </c>
      <c r="H33" s="226">
        <f t="shared" si="15"/>
        <v>0.13684698006853185</v>
      </c>
      <c r="I33" s="39"/>
      <c r="J33" s="39">
        <v>1464</v>
      </c>
      <c r="K33" s="39"/>
      <c r="L33" s="158"/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5" si="16">C34*(E34-D34)</f>
        <v>1037.7180000000008</v>
      </c>
      <c r="G34" s="39">
        <f t="shared" ref="G34:G35" si="17">D34*C34</f>
        <v>9056.232</v>
      </c>
      <c r="H34" s="226">
        <f t="shared" ref="H34:H35" si="18">(E34-D34)/D34</f>
        <v>0.11458606625801998</v>
      </c>
      <c r="I34" s="39"/>
      <c r="J34" s="39">
        <v>1262</v>
      </c>
      <c r="K34" s="39"/>
      <c r="L34" s="158"/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16"/>
        <v>810.7000000000005</v>
      </c>
      <c r="G35" s="39">
        <f t="shared" si="17"/>
        <v>11256.3</v>
      </c>
      <c r="H35" s="226">
        <f t="shared" si="18"/>
        <v>7.2021889963842511E-2</v>
      </c>
      <c r="I35" s="39"/>
      <c r="J35" s="39">
        <v>1036</v>
      </c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234.28900000000002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232.15910000000002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230.02920000000003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227.89930000000001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225.76940000000002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223.63950000000003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221.50960000000001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219.37970000000001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217.24980000000002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215.1199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212.99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210.86010000000002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208.7302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206.6003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204.47040000000001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202.34049999999999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200.2106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198.08070000000001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195.95080000000002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193.82090000000002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191.691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745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35">
      <formula>F47&gt;0</formula>
    </cfRule>
    <cfRule type="expression" dxfId="1331" priority="36">
      <formula>F47&lt;0</formula>
    </cfRule>
  </conditionalFormatting>
  <conditionalFormatting sqref="Q7">
    <cfRule type="expression" dxfId="1330" priority="33">
      <formula>Q7&gt;0</formula>
    </cfRule>
    <cfRule type="expression" dxfId="1329" priority="34">
      <formula>Q7&lt;0</formula>
    </cfRule>
  </conditionalFormatting>
  <conditionalFormatting sqref="Q8">
    <cfRule type="expression" dxfId="1328" priority="31">
      <formula>Q8&gt;0</formula>
    </cfRule>
    <cfRule type="expression" dxfId="1327" priority="32">
      <formula>Q8&lt;0</formula>
    </cfRule>
  </conditionalFormatting>
  <conditionalFormatting sqref="F30:F46">
    <cfRule type="expression" dxfId="1326" priority="29">
      <formula>F30&gt;0</formula>
    </cfRule>
    <cfRule type="expression" dxfId="1325" priority="30">
      <formula>F30&lt;0</formula>
    </cfRule>
  </conditionalFormatting>
  <conditionalFormatting sqref="H30:H46">
    <cfRule type="expression" dxfId="1324" priority="27">
      <formula>H30&gt;0</formula>
    </cfRule>
    <cfRule type="expression" dxfId="1323" priority="28">
      <formula>H30&lt;0</formula>
    </cfRule>
  </conditionalFormatting>
  <conditionalFormatting sqref="Q10">
    <cfRule type="expression" dxfId="1322" priority="21">
      <formula>Q10&gt;0</formula>
    </cfRule>
    <cfRule type="expression" dxfId="1321" priority="22">
      <formula>Q10&lt;0</formula>
    </cfRule>
  </conditionalFormatting>
  <conditionalFormatting sqref="J25:J38">
    <cfRule type="expression" dxfId="1320" priority="19">
      <formula>J25&gt;0</formula>
    </cfRule>
    <cfRule type="expression" dxfId="1319" priority="20">
      <formula>J25&lt;0</formula>
    </cfRule>
  </conditionalFormatting>
  <conditionalFormatting sqref="K25:K38">
    <cfRule type="expression" dxfId="1318" priority="17">
      <formula>K25&gt;0</formula>
    </cfRule>
    <cfRule type="expression" dxfId="1317" priority="18">
      <formula>K25&lt;0</formula>
    </cfRule>
  </conditionalFormatting>
  <conditionalFormatting sqref="L25:L38">
    <cfRule type="expression" dxfId="1316" priority="15">
      <formula>L25&gt;0</formula>
    </cfRule>
    <cfRule type="expression" dxfId="1315" priority="16">
      <formula>L25&lt;0</formula>
    </cfRule>
  </conditionalFormatting>
  <conditionalFormatting sqref="F89:F110">
    <cfRule type="expression" dxfId="1314" priority="13">
      <formula>F89&gt;0</formula>
    </cfRule>
    <cfRule type="expression" dxfId="1313" priority="14">
      <formula>F89&lt;0</formula>
    </cfRule>
  </conditionalFormatting>
  <conditionalFormatting sqref="H89:H110">
    <cfRule type="expression" dxfId="1312" priority="11">
      <formula>H89&gt;0</formula>
    </cfRule>
    <cfRule type="expression" dxfId="1311" priority="12">
      <formula>H89&lt;0</formula>
    </cfRule>
  </conditionalFormatting>
  <conditionalFormatting sqref="J89:J102">
    <cfRule type="expression" dxfId="1310" priority="9">
      <formula>J89&gt;0</formula>
    </cfRule>
    <cfRule type="expression" dxfId="1309" priority="10">
      <formula>J89&lt;0</formula>
    </cfRule>
  </conditionalFormatting>
  <conditionalFormatting sqref="K89:K102">
    <cfRule type="expression" dxfId="1308" priority="7">
      <formula>K89&gt;0</formula>
    </cfRule>
    <cfRule type="expression" dxfId="1307" priority="8">
      <formula>K89&lt;0</formula>
    </cfRule>
  </conditionalFormatting>
  <conditionalFormatting sqref="L89:L102">
    <cfRule type="expression" dxfId="1306" priority="5">
      <formula>L89&gt;0</formula>
    </cfRule>
    <cfRule type="expression" dxfId="1305" priority="6">
      <formula>L89&lt;0</formula>
    </cfRule>
  </conditionalFormatting>
  <conditionalFormatting sqref="F25:F29">
    <cfRule type="expression" dxfId="1304" priority="3">
      <formula>F25&gt;0</formula>
    </cfRule>
    <cfRule type="expression" dxfId="1303" priority="4">
      <formula>F25&lt;0</formula>
    </cfRule>
  </conditionalFormatting>
  <conditionalFormatting sqref="H25:H29">
    <cfRule type="expression" dxfId="1302" priority="1">
      <formula>H25&gt;0</formula>
    </cfRule>
    <cfRule type="expression" dxfId="130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889</v>
      </c>
      <c r="B2" s="72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967</v>
      </c>
      <c r="M2" s="3"/>
      <c r="O2" s="11" t="s">
        <v>57</v>
      </c>
      <c r="Q2">
        <f>C18-H18</f>
        <v>60</v>
      </c>
      <c r="T2" s="1">
        <v>43119</v>
      </c>
      <c r="U2" t="s">
        <v>970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86.289999999999992</v>
      </c>
      <c r="T3" s="1"/>
      <c r="U3" t="s">
        <v>971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88.2</v>
      </c>
      <c r="R4" s="509">
        <v>-2.29E-2</v>
      </c>
      <c r="T4" s="1"/>
      <c r="U4" t="s">
        <v>972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5292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5177.3999999999996</v>
      </c>
      <c r="U6" t="s">
        <v>973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114.60000000000036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114.60000000000036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2.2134662185653103E-2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7.7097505668934242E-3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02" t="s">
        <v>78</v>
      </c>
      <c r="P15" s="802"/>
      <c r="W15" s="134"/>
    </row>
    <row r="16" spans="1:23" ht="15.75" thickTop="1" x14ac:dyDescent="0.25">
      <c r="H16" s="70"/>
      <c r="O16" s="81">
        <v>1.1000000000000001</v>
      </c>
      <c r="P16" s="81">
        <f>O16*$Q$4</f>
        <v>97.02000000000001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96.138000000000005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95.256000000000014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94.374000000000009</v>
      </c>
      <c r="W19" s="134"/>
    </row>
    <row r="20" spans="1:23" x14ac:dyDescent="0.25">
      <c r="O20" s="81">
        <v>1.06</v>
      </c>
      <c r="P20" s="81">
        <f t="shared" si="0"/>
        <v>93.492000000000004</v>
      </c>
      <c r="W20" s="134"/>
    </row>
    <row r="21" spans="1:23" x14ac:dyDescent="0.25">
      <c r="O21" s="81">
        <v>1.05</v>
      </c>
      <c r="P21" s="81">
        <f t="shared" si="0"/>
        <v>92.610000000000014</v>
      </c>
      <c r="W21" s="134"/>
    </row>
    <row r="22" spans="1:23" x14ac:dyDescent="0.25">
      <c r="O22" s="81">
        <v>1.04</v>
      </c>
      <c r="P22" s="81">
        <f t="shared" si="0"/>
        <v>91.728000000000009</v>
      </c>
      <c r="W22" s="134"/>
    </row>
    <row r="23" spans="1:23" x14ac:dyDescent="0.25">
      <c r="O23" s="81">
        <v>1.03</v>
      </c>
      <c r="P23" s="81">
        <f t="shared" si="0"/>
        <v>90.846000000000004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1.02</v>
      </c>
      <c r="P24" s="81">
        <f t="shared" si="0"/>
        <v>89.963999999999999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89.082000000000008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88.2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87.317999999999998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86.436000000000007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0.97</v>
      </c>
      <c r="P29" s="81">
        <f t="shared" si="0"/>
        <v>85.554000000000002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84.671999999999997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83.789999999999992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82.908000000000001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82.02600000000001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81.144000000000005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80.262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79.38000000000001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0" priority="21">
      <formula>F47&gt;0</formula>
    </cfRule>
    <cfRule type="expression" dxfId="1299" priority="22">
      <formula>F47&lt;0</formula>
    </cfRule>
  </conditionalFormatting>
  <conditionalFormatting sqref="Q7">
    <cfRule type="expression" dxfId="1298" priority="19">
      <formula>Q7&gt;0</formula>
    </cfRule>
    <cfRule type="expression" dxfId="1297" priority="20">
      <formula>Q7&lt;0</formula>
    </cfRule>
  </conditionalFormatting>
  <conditionalFormatting sqref="Q8">
    <cfRule type="expression" dxfId="1296" priority="17">
      <formula>Q8&gt;0</formula>
    </cfRule>
    <cfRule type="expression" dxfId="1295" priority="18">
      <formula>Q8&lt;0</formula>
    </cfRule>
  </conditionalFormatting>
  <conditionalFormatting sqref="F25:F46">
    <cfRule type="expression" dxfId="1294" priority="15">
      <formula>F25&gt;0</formula>
    </cfRule>
    <cfRule type="expression" dxfId="1293" priority="16">
      <formula>F25&lt;0</formula>
    </cfRule>
  </conditionalFormatting>
  <conditionalFormatting sqref="H25:H46">
    <cfRule type="expression" dxfId="1292" priority="13">
      <formula>H25&gt;0</formula>
    </cfRule>
    <cfRule type="expression" dxfId="1291" priority="14">
      <formula>H25&lt;0</formula>
    </cfRule>
  </conditionalFormatting>
  <conditionalFormatting sqref="F89:F110">
    <cfRule type="expression" dxfId="1290" priority="11">
      <formula>F89&gt;0</formula>
    </cfRule>
    <cfRule type="expression" dxfId="1289" priority="12">
      <formula>F89&lt;0</formula>
    </cfRule>
  </conditionalFormatting>
  <conditionalFormatting sqref="H89:H110">
    <cfRule type="expression" dxfId="1288" priority="9">
      <formula>H89&gt;0</formula>
    </cfRule>
    <cfRule type="expression" dxfId="1287" priority="10">
      <formula>H89&lt;0</formula>
    </cfRule>
  </conditionalFormatting>
  <conditionalFormatting sqref="Q10">
    <cfRule type="expression" dxfId="1286" priority="7">
      <formula>Q10&gt;0</formula>
    </cfRule>
    <cfRule type="expression" dxfId="1285" priority="8">
      <formula>Q10&lt;0</formula>
    </cfRule>
  </conditionalFormatting>
  <conditionalFormatting sqref="J25:J38">
    <cfRule type="expression" dxfId="1284" priority="5">
      <formula>J25&gt;0</formula>
    </cfRule>
    <cfRule type="expression" dxfId="1283" priority="6">
      <formula>J25&lt;0</formula>
    </cfRule>
  </conditionalFormatting>
  <conditionalFormatting sqref="K25:K38">
    <cfRule type="expression" dxfId="1282" priority="3">
      <formula>K25&gt;0</formula>
    </cfRule>
    <cfRule type="expression" dxfId="1281" priority="4">
      <formula>K25&lt;0</formula>
    </cfRule>
  </conditionalFormatting>
  <conditionalFormatting sqref="L25:L38">
    <cfRule type="expression" dxfId="1280" priority="1">
      <formula>L25&gt;0</formula>
    </cfRule>
    <cfRule type="expression" dxfId="127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728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887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85.350333333333339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109.86</v>
      </c>
      <c r="R4" s="509">
        <v>-3.5700000000000003E-2</v>
      </c>
      <c r="T4" s="1">
        <v>42738</v>
      </c>
      <c r="U4" t="s">
        <v>886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6591.6</v>
      </c>
      <c r="T5" s="1">
        <v>43105</v>
      </c>
      <c r="U5" t="s">
        <v>915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5121.0200000000004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5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1470.58</v>
      </c>
      <c r="R7">
        <v>50</v>
      </c>
      <c r="T7" s="1">
        <v>43112</v>
      </c>
      <c r="U7" t="s">
        <v>921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1470.58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0.28716544750850415</v>
      </c>
      <c r="T9" s="1">
        <v>43114</v>
      </c>
      <c r="U9" t="s">
        <v>943</v>
      </c>
    </row>
    <row r="10" spans="1:21" x14ac:dyDescent="0.25">
      <c r="B10" s="486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944</v>
      </c>
    </row>
    <row r="11" spans="1:21" x14ac:dyDescent="0.25">
      <c r="C11" s="4"/>
      <c r="D11" s="3"/>
      <c r="E11" s="3"/>
      <c r="F11" s="3"/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02" t="s">
        <v>78</v>
      </c>
      <c r="P17" s="802"/>
    </row>
    <row r="18" spans="1:17" ht="15.75" thickTop="1" x14ac:dyDescent="0.25">
      <c r="A18" s="31" t="s">
        <v>81</v>
      </c>
      <c r="B18" s="14"/>
      <c r="C18" s="14">
        <f>SUM(C2:C11)</f>
        <v>260</v>
      </c>
      <c r="D18" s="18"/>
      <c r="E18" s="18"/>
      <c r="F18" s="18">
        <f>SUM(F2:F11)</f>
        <v>25154.600000000002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120.846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119.74740000000001</v>
      </c>
      <c r="Q19" s="2"/>
    </row>
    <row r="20" spans="1:17" x14ac:dyDescent="0.25">
      <c r="O20" s="81">
        <v>1.08</v>
      </c>
      <c r="P20" s="81">
        <f t="shared" si="3"/>
        <v>118.64880000000001</v>
      </c>
      <c r="Q20" s="2"/>
    </row>
    <row r="21" spans="1:17" x14ac:dyDescent="0.25">
      <c r="O21" s="81">
        <v>1.07</v>
      </c>
      <c r="P21" s="81">
        <f t="shared" si="3"/>
        <v>117.5502</v>
      </c>
      <c r="Q21" s="2"/>
    </row>
    <row r="22" spans="1:17" x14ac:dyDescent="0.25">
      <c r="O22" s="81">
        <v>1.06</v>
      </c>
      <c r="P22" s="81">
        <f t="shared" si="3"/>
        <v>116.4516</v>
      </c>
      <c r="Q22" s="2"/>
    </row>
    <row r="23" spans="1:17" x14ac:dyDescent="0.25">
      <c r="O23" s="81">
        <v>1.05</v>
      </c>
      <c r="P23" s="81">
        <f t="shared" si="3"/>
        <v>115.35300000000001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O24" s="81">
        <v>1.04</v>
      </c>
      <c r="P24" s="81">
        <f t="shared" si="3"/>
        <v>114.2544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113.1558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112.05719999999999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110.9586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109.86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108.76139999999999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107.6628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106.5642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105.46559999999999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104.36699999999999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103.2684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102.16980000000001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101.0712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99.9726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98.873999999999995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9" si="39">C46*(E46-D46)</f>
        <v>1420.7940000000006</v>
      </c>
      <c r="G46" s="39">
        <f t="shared" ref="G46:G49" si="40">D46*C46</f>
        <v>8675.4060000000009</v>
      </c>
      <c r="H46" s="226">
        <f t="shared" ref="H46:H49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920</v>
      </c>
      <c r="J47" s="39"/>
      <c r="K47" s="39"/>
      <c r="L47" s="39">
        <v>74.34</v>
      </c>
      <c r="M47" t="s">
        <v>942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278" priority="23">
      <formula>F56&gt;0</formula>
    </cfRule>
    <cfRule type="expression" dxfId="1277" priority="24">
      <formula>F56&lt;0</formula>
    </cfRule>
  </conditionalFormatting>
  <conditionalFormatting sqref="Q7">
    <cfRule type="expression" dxfId="1276" priority="21">
      <formula>Q7&gt;0</formula>
    </cfRule>
    <cfRule type="expression" dxfId="1275" priority="22">
      <formula>Q7&lt;0</formula>
    </cfRule>
  </conditionalFormatting>
  <conditionalFormatting sqref="Q8">
    <cfRule type="expression" dxfId="1274" priority="19">
      <formula>Q8&gt;0</formula>
    </cfRule>
    <cfRule type="expression" dxfId="1273" priority="20">
      <formula>Q8&lt;0</formula>
    </cfRule>
  </conditionalFormatting>
  <conditionalFormatting sqref="F25:F55">
    <cfRule type="expression" dxfId="1272" priority="17">
      <formula>F25&gt;0</formula>
    </cfRule>
    <cfRule type="expression" dxfId="1271" priority="18">
      <formula>F25&lt;0</formula>
    </cfRule>
  </conditionalFormatting>
  <conditionalFormatting sqref="H25:H55">
    <cfRule type="expression" dxfId="1270" priority="15">
      <formula>H25&gt;0</formula>
    </cfRule>
    <cfRule type="expression" dxfId="1269" priority="16">
      <formula>H25&lt;0</formula>
    </cfRule>
  </conditionalFormatting>
  <conditionalFormatting sqref="F89:F110">
    <cfRule type="expression" dxfId="1268" priority="13">
      <formula>F89&gt;0</formula>
    </cfRule>
    <cfRule type="expression" dxfId="1267" priority="14">
      <formula>F89&lt;0</formula>
    </cfRule>
  </conditionalFormatting>
  <conditionalFormatting sqref="H89:H110">
    <cfRule type="expression" dxfId="1266" priority="11">
      <formula>H89&gt;0</formula>
    </cfRule>
    <cfRule type="expression" dxfId="1265" priority="12">
      <formula>H89&lt;0</formula>
    </cfRule>
  </conditionalFormatting>
  <conditionalFormatting sqref="Q10">
    <cfRule type="expression" dxfId="1264" priority="9">
      <formula>Q10&gt;0</formula>
    </cfRule>
    <cfRule type="expression" dxfId="1263" priority="10">
      <formula>Q10&lt;0</formula>
    </cfRule>
  </conditionalFormatting>
  <conditionalFormatting sqref="J25:J38">
    <cfRule type="expression" dxfId="1262" priority="7">
      <formula>J25&gt;0</formula>
    </cfRule>
    <cfRule type="expression" dxfId="1261" priority="8">
      <formula>J25&lt;0</formula>
    </cfRule>
  </conditionalFormatting>
  <conditionalFormatting sqref="K25:K38">
    <cfRule type="expression" dxfId="1260" priority="5">
      <formula>K25&gt;0</formula>
    </cfRule>
    <cfRule type="expression" dxfId="1259" priority="6">
      <formula>K25&lt;0</formula>
    </cfRule>
  </conditionalFormatting>
  <conditionalFormatting sqref="L25:L34">
    <cfRule type="expression" dxfId="1258" priority="3">
      <formula>L25&gt;0</formula>
    </cfRule>
    <cfRule type="expression" dxfId="1257" priority="4">
      <formula>L25&lt;0</formula>
    </cfRule>
  </conditionalFormatting>
  <conditionalFormatting sqref="J43">
    <cfRule type="expression" dxfId="1256" priority="1">
      <formula>J43&gt;0</formula>
    </cfRule>
    <cfRule type="expression" dxfId="1255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86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36.630000000000003</v>
      </c>
      <c r="R4" s="509">
        <v>-4.5699999999999998E-2</v>
      </c>
      <c r="T4" s="792">
        <v>43103</v>
      </c>
      <c r="U4" s="30" t="s">
        <v>903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3663.0000000000005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5.0000000000004547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5.0000000000004547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1.3668671405140664E-3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40.293000000000006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39.926700000000004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39.560400000000008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39.194100000000006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38.827800000000003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38.461500000000001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38.095200000000006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37.728900000000003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37.3626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36.996300000000005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36.630000000000003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36.2637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35.897400000000005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35.531100000000002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35.1648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34.798500000000004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34.432200000000002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34.065900000000006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33.699600000000004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33.333300000000001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32.967000000000006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988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" priority="31">
      <formula>F47&gt;0</formula>
    </cfRule>
    <cfRule type="expression" dxfId="30" priority="32">
      <formula>F47&lt;0</formula>
    </cfRule>
  </conditionalFormatting>
  <conditionalFormatting sqref="Q7">
    <cfRule type="expression" dxfId="29" priority="29">
      <formula>Q7&gt;0</formula>
    </cfRule>
    <cfRule type="expression" dxfId="28" priority="30">
      <formula>Q7&lt;0</formula>
    </cfRule>
  </conditionalFormatting>
  <conditionalFormatting sqref="Q8">
    <cfRule type="expression" dxfId="27" priority="27">
      <formula>Q8&gt;0</formula>
    </cfRule>
    <cfRule type="expression" dxfId="26" priority="28">
      <formula>Q8&lt;0</formula>
    </cfRule>
  </conditionalFormatting>
  <conditionalFormatting sqref="F30:F46">
    <cfRule type="expression" dxfId="25" priority="25">
      <formula>F30&gt;0</formula>
    </cfRule>
    <cfRule type="expression" dxfId="24" priority="26">
      <formula>F30&lt;0</formula>
    </cfRule>
  </conditionalFormatting>
  <conditionalFormatting sqref="H30:H46">
    <cfRule type="expression" dxfId="23" priority="23">
      <formula>H30&gt;0</formula>
    </cfRule>
    <cfRule type="expression" dxfId="22" priority="24">
      <formula>H30&lt;0</formula>
    </cfRule>
  </conditionalFormatting>
  <conditionalFormatting sqref="Q10">
    <cfRule type="expression" dxfId="21" priority="21">
      <formula>Q10&gt;0</formula>
    </cfRule>
    <cfRule type="expression" dxfId="20" priority="22">
      <formula>Q10&lt;0</formula>
    </cfRule>
  </conditionalFormatting>
  <conditionalFormatting sqref="J25:J38">
    <cfRule type="expression" dxfId="19" priority="19">
      <formula>J25&gt;0</formula>
    </cfRule>
    <cfRule type="expression" dxfId="18" priority="20">
      <formula>J25&lt;0</formula>
    </cfRule>
  </conditionalFormatting>
  <conditionalFormatting sqref="K25:K38">
    <cfRule type="expression" dxfId="17" priority="17">
      <formula>K25&gt;0</formula>
    </cfRule>
    <cfRule type="expression" dxfId="16" priority="18">
      <formula>K25&lt;0</formula>
    </cfRule>
  </conditionalFormatting>
  <conditionalFormatting sqref="L25:L38">
    <cfRule type="expression" dxfId="15" priority="15">
      <formula>L25&gt;0</formula>
    </cfRule>
    <cfRule type="expression" dxfId="14" priority="16">
      <formula>L25&lt;0</formula>
    </cfRule>
  </conditionalFormatting>
  <conditionalFormatting sqref="F89:F110">
    <cfRule type="expression" dxfId="13" priority="13">
      <formula>F89&gt;0</formula>
    </cfRule>
    <cfRule type="expression" dxfId="12" priority="14">
      <formula>F89&lt;0</formula>
    </cfRule>
  </conditionalFormatting>
  <conditionalFormatting sqref="H89:H110">
    <cfRule type="expression" dxfId="11" priority="11">
      <formula>H89&gt;0</formula>
    </cfRule>
    <cfRule type="expression" dxfId="10" priority="12">
      <formula>H89&lt;0</formula>
    </cfRule>
  </conditionalFormatting>
  <conditionalFormatting sqref="J89:J102">
    <cfRule type="expression" dxfId="9" priority="9">
      <formula>J89&gt;0</formula>
    </cfRule>
    <cfRule type="expression" dxfId="8" priority="10">
      <formula>J89&lt;0</formula>
    </cfRule>
  </conditionalFormatting>
  <conditionalFormatting sqref="K89:K102">
    <cfRule type="expression" dxfId="7" priority="7">
      <formula>K89&gt;0</formula>
    </cfRule>
    <cfRule type="expression" dxfId="6" priority="8">
      <formula>K89&lt;0</formula>
    </cfRule>
  </conditionalFormatting>
  <conditionalFormatting sqref="L89:L102">
    <cfRule type="expression" dxfId="5" priority="5">
      <formula>L89&gt;0</formula>
    </cfRule>
    <cfRule type="expression" dxfId="4" priority="6">
      <formula>L89&lt;0</formula>
    </cfRule>
  </conditionalFormatting>
  <conditionalFormatting sqref="F25:F29">
    <cfRule type="expression" dxfId="3" priority="3">
      <formula>F25&gt;0</formula>
    </cfRule>
    <cfRule type="expression" dxfId="2" priority="4">
      <formula>F25&lt;0</formula>
    </cfRule>
  </conditionalFormatting>
  <conditionalFormatting sqref="H25:H29">
    <cfRule type="expression" dxfId="1" priority="1">
      <formula>H25&gt;0</formula>
    </cfRule>
    <cfRule type="expression" dxfId="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730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182.81</v>
      </c>
      <c r="R4" s="509">
        <v>-4.2999999999999997E-2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3656.2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818.12000000000035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675.09000000000015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0.22645591742673038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2.7350801378480389E-3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738</v>
      </c>
      <c r="Q16" s="694" t="s">
        <v>739</v>
      </c>
      <c r="R16" s="692" t="s">
        <v>732</v>
      </c>
      <c r="S16" s="692" t="s">
        <v>733</v>
      </c>
      <c r="T16" s="694" t="s">
        <v>735</v>
      </c>
      <c r="U16" s="694" t="s">
        <v>736</v>
      </c>
      <c r="V16" s="692" t="s">
        <v>734</v>
      </c>
      <c r="W16" s="693" t="s">
        <v>737</v>
      </c>
    </row>
    <row r="17" spans="1:23" x14ac:dyDescent="0.25">
      <c r="O17" s="695">
        <v>43013</v>
      </c>
      <c r="P17" s="691" t="s">
        <v>809</v>
      </c>
      <c r="Q17" s="691" t="s">
        <v>810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201.09100000000001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199.26290000000003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197.43480000000002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195.60670000000002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193.77860000000001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191.95050000000001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190.1224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188.29430000000002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186.46620000000001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184.63810000000001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182.81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180.9819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179.15379999999999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177.32569999999998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175.49760000000001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173.6695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171.84139999999999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170.01330000000002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168.18520000000001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166.3571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164.529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54" priority="22">
      <formula>F47&gt;0</formula>
    </cfRule>
    <cfRule type="expression" dxfId="1253" priority="23">
      <formula>F47&lt;0</formula>
    </cfRule>
  </conditionalFormatting>
  <conditionalFormatting sqref="Q7">
    <cfRule type="expression" dxfId="1252" priority="20">
      <formula>Q7&gt;0</formula>
    </cfRule>
    <cfRule type="expression" dxfId="1251" priority="21">
      <formula>Q7&lt;0</formula>
    </cfRule>
  </conditionalFormatting>
  <conditionalFormatting sqref="Q8">
    <cfRule type="expression" dxfId="1250" priority="18">
      <formula>Q8&gt;0</formula>
    </cfRule>
    <cfRule type="expression" dxfId="1249" priority="19">
      <formula>Q8&lt;0</formula>
    </cfRule>
  </conditionalFormatting>
  <conditionalFormatting sqref="F25:F46">
    <cfRule type="expression" dxfId="1248" priority="16">
      <formula>F25&gt;0</formula>
    </cfRule>
    <cfRule type="expression" dxfId="1247" priority="17">
      <formula>F25&lt;0</formula>
    </cfRule>
  </conditionalFormatting>
  <conditionalFormatting sqref="H25:H46">
    <cfRule type="expression" dxfId="1246" priority="14">
      <formula>H25&gt;0</formula>
    </cfRule>
    <cfRule type="expression" dxfId="1245" priority="15">
      <formula>H25&lt;0</formula>
    </cfRule>
  </conditionalFormatting>
  <conditionalFormatting sqref="F89:F110">
    <cfRule type="expression" dxfId="1244" priority="12">
      <formula>F89&gt;0</formula>
    </cfRule>
    <cfRule type="expression" dxfId="1243" priority="13">
      <formula>F89&lt;0</formula>
    </cfRule>
  </conditionalFormatting>
  <conditionalFormatting sqref="H89:H110">
    <cfRule type="expression" dxfId="1242" priority="10">
      <formula>H89&gt;0</formula>
    </cfRule>
    <cfRule type="expression" dxfId="1241" priority="11">
      <formula>H89&lt;0</formula>
    </cfRule>
  </conditionalFormatting>
  <conditionalFormatting sqref="Q10">
    <cfRule type="expression" dxfId="1240" priority="8">
      <formula>Q10&gt;0</formula>
    </cfRule>
    <cfRule type="expression" dxfId="1239" priority="9">
      <formula>Q10&lt;0</formula>
    </cfRule>
  </conditionalFormatting>
  <conditionalFormatting sqref="J25:J38">
    <cfRule type="expression" dxfId="1238" priority="6">
      <formula>J25&gt;0</formula>
    </cfRule>
    <cfRule type="expression" dxfId="1237" priority="7">
      <formula>J25&lt;0</formula>
    </cfRule>
  </conditionalFormatting>
  <conditionalFormatting sqref="K25:K38">
    <cfRule type="expression" dxfId="1236" priority="4">
      <formula>K25&gt;0</formula>
    </cfRule>
    <cfRule type="expression" dxfId="1235" priority="5">
      <formula>K25&lt;0</formula>
    </cfRule>
  </conditionalFormatting>
  <conditionalFormatting sqref="L25:L38">
    <cfRule type="expression" dxfId="1234" priority="2">
      <formula>L25&gt;0</formula>
    </cfRule>
    <cfRule type="expression" dxfId="1233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15.06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15.06</v>
      </c>
      <c r="R4" s="487">
        <v>-1.2999999999999999E-3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16.566000000000003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16.415400000000002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16.264800000000001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16.1142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0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15.963600000000001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0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15.813000000000001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15.662400000000002</v>
      </c>
      <c r="Q49" s="2"/>
      <c r="T49" s="106" t="s">
        <v>103</v>
      </c>
      <c r="U49" s="104" t="s">
        <v>632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15.511800000000001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15.3612</v>
      </c>
      <c r="Q51" s="2"/>
      <c r="T51" s="106" t="s">
        <v>104</v>
      </c>
      <c r="U51" s="104" t="s">
        <v>633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15.210600000000001</v>
      </c>
      <c r="Q52" s="2"/>
      <c r="T52" s="106" t="s">
        <v>105</v>
      </c>
      <c r="U52" s="104" t="s">
        <v>526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15.06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14.9094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14.758800000000001</v>
      </c>
      <c r="T55" s="106" t="s">
        <v>107</v>
      </c>
      <c r="U55" s="104" t="s">
        <v>634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14.6082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14.457599999999999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14.307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14.1564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14.005800000000001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13.855200000000002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13.704600000000001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13.554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513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514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05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05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221" priority="74">
      <formula>F12&gt;0</formula>
    </cfRule>
    <cfRule type="expression" dxfId="122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219" priority="67">
      <formula>F124&gt;0</formula>
    </cfRule>
    <cfRule type="expression" dxfId="1218" priority="68">
      <formula>F124&lt;0</formula>
    </cfRule>
  </conditionalFormatting>
  <conditionalFormatting sqref="H124:H130">
    <cfRule type="expression" dxfId="1217" priority="55">
      <formula>H124&gt;0</formula>
    </cfRule>
    <cfRule type="expression" dxfId="1216" priority="56">
      <formula>H124&lt;0</formula>
    </cfRule>
  </conditionalFormatting>
  <conditionalFormatting sqref="H131">
    <cfRule type="expression" dxfId="1215" priority="53">
      <formula>H131&gt;0</formula>
    </cfRule>
    <cfRule type="expression" dxfId="1214" priority="54">
      <formula>H131&lt;0</formula>
    </cfRule>
  </conditionalFormatting>
  <conditionalFormatting sqref="H132">
    <cfRule type="expression" dxfId="1213" priority="51">
      <formula>H132&gt;0</formula>
    </cfRule>
    <cfRule type="expression" dxfId="1212" priority="52">
      <formula>H132&lt;0</formula>
    </cfRule>
  </conditionalFormatting>
  <conditionalFormatting sqref="H133:H135">
    <cfRule type="expression" dxfId="1211" priority="49">
      <formula>H133&gt;0</formula>
    </cfRule>
    <cfRule type="expression" dxfId="1210" priority="50">
      <formula>H133&lt;0</formula>
    </cfRule>
  </conditionalFormatting>
  <conditionalFormatting sqref="H136">
    <cfRule type="expression" dxfId="1209" priority="45">
      <formula>H136&gt;0</formula>
    </cfRule>
    <cfRule type="expression" dxfId="1208" priority="46">
      <formula>H136&lt;0</formula>
    </cfRule>
  </conditionalFormatting>
  <conditionalFormatting sqref="Q7">
    <cfRule type="expression" dxfId="1207" priority="39">
      <formula>Q7&gt;0</formula>
    </cfRule>
    <cfRule type="expression" dxfId="1206" priority="40">
      <formula>Q7&lt;0</formula>
    </cfRule>
  </conditionalFormatting>
  <conditionalFormatting sqref="Q8">
    <cfRule type="expression" dxfId="1205" priority="37">
      <formula>Q8&gt;0</formula>
    </cfRule>
    <cfRule type="expression" dxfId="1204" priority="38">
      <formula>Q8&lt;0</formula>
    </cfRule>
  </conditionalFormatting>
  <conditionalFormatting sqref="F167:F178 H167:H178">
    <cfRule type="expression" dxfId="1203" priority="35">
      <formula>F167&gt;0</formula>
    </cfRule>
    <cfRule type="expression" dxfId="1202" priority="36">
      <formula>F167&lt;0</formula>
    </cfRule>
  </conditionalFormatting>
  <conditionalFormatting sqref="F183:F197 H183:H197">
    <cfRule type="expression" dxfId="1201" priority="33">
      <formula>F183&gt;0</formula>
    </cfRule>
    <cfRule type="expression" dxfId="1200" priority="34">
      <formula>F183&lt;0</formula>
    </cfRule>
  </conditionalFormatting>
  <conditionalFormatting sqref="F198:F206 H198:H206">
    <cfRule type="expression" dxfId="1199" priority="31">
      <formula>F198&gt;0</formula>
    </cfRule>
    <cfRule type="expression" dxfId="1198" priority="32">
      <formula>F198&lt;0</formula>
    </cfRule>
  </conditionalFormatting>
  <conditionalFormatting sqref="F141:F147 H141:H147">
    <cfRule type="expression" dxfId="1197" priority="29">
      <formula>F141&gt;0</formula>
    </cfRule>
    <cfRule type="expression" dxfId="1196" priority="30">
      <formula>F141&lt;0</formula>
    </cfRule>
  </conditionalFormatting>
  <conditionalFormatting sqref="H149:H152 F149:F152">
    <cfRule type="expression" dxfId="1195" priority="27">
      <formula>F149&gt;0</formula>
    </cfRule>
    <cfRule type="expression" dxfId="1194" priority="28">
      <formula>F149&lt;0</formula>
    </cfRule>
  </conditionalFormatting>
  <conditionalFormatting sqref="F226 H215:H218 H257:H260 F257:F260 H226 H231:H233 F231:F233 F235:F244 H235:H244">
    <cfRule type="expression" dxfId="1193" priority="25">
      <formula>F215&gt;0</formula>
    </cfRule>
    <cfRule type="expression" dxfId="1192" priority="26">
      <formula>F215&lt;0</formula>
    </cfRule>
  </conditionalFormatting>
  <conditionalFormatting sqref="F207:F218">
    <cfRule type="expression" dxfId="1191" priority="23">
      <formula>F207&gt;0</formula>
    </cfRule>
    <cfRule type="expression" dxfId="1190" priority="24">
      <formula>F207&lt;0</formula>
    </cfRule>
  </conditionalFormatting>
  <conditionalFormatting sqref="H207:H208">
    <cfRule type="expression" dxfId="1189" priority="21">
      <formula>H207&gt;0</formula>
    </cfRule>
    <cfRule type="expression" dxfId="1188" priority="22">
      <formula>H207&lt;0</formula>
    </cfRule>
  </conditionalFormatting>
  <conditionalFormatting sqref="H209">
    <cfRule type="expression" dxfId="1187" priority="19">
      <formula>H209&gt;0</formula>
    </cfRule>
    <cfRule type="expression" dxfId="1186" priority="20">
      <formula>H209&lt;0</formula>
    </cfRule>
  </conditionalFormatting>
  <conditionalFormatting sqref="H210">
    <cfRule type="expression" dxfId="1185" priority="17">
      <formula>H210&gt;0</formula>
    </cfRule>
    <cfRule type="expression" dxfId="1184" priority="18">
      <formula>H210&lt;0</formula>
    </cfRule>
  </conditionalFormatting>
  <conditionalFormatting sqref="H211:H213">
    <cfRule type="expression" dxfId="1183" priority="15">
      <formula>H211&gt;0</formula>
    </cfRule>
    <cfRule type="expression" dxfId="1182" priority="16">
      <formula>H211&lt;0</formula>
    </cfRule>
  </conditionalFormatting>
  <conditionalFormatting sqref="H214">
    <cfRule type="expression" dxfId="1181" priority="13">
      <formula>H214&gt;0</formula>
    </cfRule>
    <cfRule type="expression" dxfId="1180" priority="14">
      <formula>H214&lt;0</formula>
    </cfRule>
  </conditionalFormatting>
  <conditionalFormatting sqref="F245:F256 H245:H256">
    <cfRule type="expression" dxfId="1179" priority="11">
      <formula>F245&gt;0</formula>
    </cfRule>
    <cfRule type="expression" dxfId="1178" priority="12">
      <formula>F245&lt;0</formula>
    </cfRule>
  </conditionalFormatting>
  <conditionalFormatting sqref="F261:F275 H261:H275">
    <cfRule type="expression" dxfId="1177" priority="9">
      <formula>F261&gt;0</formula>
    </cfRule>
    <cfRule type="expression" dxfId="1176" priority="10">
      <formula>F261&lt;0</formula>
    </cfRule>
  </conditionalFormatting>
  <conditionalFormatting sqref="F276:F283 H276:H283">
    <cfRule type="expression" dxfId="1175" priority="7">
      <formula>F276&gt;0</formula>
    </cfRule>
    <cfRule type="expression" dxfId="1174" priority="8">
      <formula>F276&lt;0</formula>
    </cfRule>
  </conditionalFormatting>
  <conditionalFormatting sqref="F219:F225 H219:H225">
    <cfRule type="expression" dxfId="1173" priority="5">
      <formula>F219&gt;0</formula>
    </cfRule>
    <cfRule type="expression" dxfId="1172" priority="6">
      <formula>F219&lt;0</formula>
    </cfRule>
  </conditionalFormatting>
  <conditionalFormatting sqref="H227:H230 F227:F230">
    <cfRule type="expression" dxfId="1171" priority="3">
      <formula>F227&gt;0</formula>
    </cfRule>
    <cfRule type="expression" dxfId="1170" priority="4">
      <formula>F227&lt;0</formula>
    </cfRule>
  </conditionalFormatting>
  <conditionalFormatting sqref="H234 F234">
    <cfRule type="expression" dxfId="1169" priority="1">
      <formula>F234&gt;0</formula>
    </cfRule>
    <cfRule type="expression" dxfId="116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126.7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126.7</v>
      </c>
      <c r="R4" s="487">
        <v>-3.8899999999999997E-2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02" t="s">
        <v>78</v>
      </c>
      <c r="P40" s="80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139.37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138.10300000000001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136.83600000000001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135.56900000000002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134.30200000000002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133.035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131.768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130.501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129.23400000000001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127.967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126.7</v>
      </c>
      <c r="Q51" s="2"/>
      <c r="T51" s="91" t="s">
        <v>104</v>
      </c>
      <c r="U51" s="127" t="s">
        <v>635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125.43300000000001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124.166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122.899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121.63200000000001</v>
      </c>
      <c r="T55" s="91" t="s">
        <v>107</v>
      </c>
      <c r="U55" s="127" t="s">
        <v>636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120.36499999999999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119.098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117.831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116.56400000000001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115.29700000000001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114.03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167" priority="43">
      <formula>F33&gt;0</formula>
    </cfRule>
    <cfRule type="expression" dxfId="1166" priority="44">
      <formula>F33&lt;0</formula>
    </cfRule>
  </conditionalFormatting>
  <conditionalFormatting sqref="Q7">
    <cfRule type="expression" dxfId="1165" priority="41">
      <formula>Q7&gt;0</formula>
    </cfRule>
    <cfRule type="expression" dxfId="1164" priority="42">
      <formula>Q7&lt;0</formula>
    </cfRule>
  </conditionalFormatting>
  <conditionalFormatting sqref="Q8">
    <cfRule type="expression" dxfId="1163" priority="39">
      <formula>Q8&gt;0</formula>
    </cfRule>
    <cfRule type="expression" dxfId="1162" priority="40">
      <formula>Q8&lt;0</formula>
    </cfRule>
  </conditionalFormatting>
  <conditionalFormatting sqref="F29 F32">
    <cfRule type="expression" dxfId="1161" priority="37">
      <formula>F29&gt;0</formula>
    </cfRule>
    <cfRule type="expression" dxfId="1160" priority="38">
      <formula>F29&lt;0</formula>
    </cfRule>
  </conditionalFormatting>
  <conditionalFormatting sqref="H29 H32">
    <cfRule type="expression" dxfId="1159" priority="35">
      <formula>H29&gt;0</formula>
    </cfRule>
    <cfRule type="expression" dxfId="1158" priority="36">
      <formula>H29&lt;0</formula>
    </cfRule>
  </conditionalFormatting>
  <conditionalFormatting sqref="F30:F31">
    <cfRule type="expression" dxfId="1157" priority="33">
      <formula>F30&gt;0</formula>
    </cfRule>
    <cfRule type="expression" dxfId="1156" priority="34">
      <formula>F30&lt;0</formula>
    </cfRule>
  </conditionalFormatting>
  <conditionalFormatting sqref="H30:H31">
    <cfRule type="expression" dxfId="1155" priority="31">
      <formula>H30&gt;0</formula>
    </cfRule>
    <cfRule type="expression" dxfId="1154" priority="32">
      <formula>H30&lt;0</formula>
    </cfRule>
  </conditionalFormatting>
  <conditionalFormatting sqref="F105:F140 H105:H140">
    <cfRule type="expression" dxfId="1153" priority="29">
      <formula>F105&gt;0</formula>
    </cfRule>
    <cfRule type="expression" dxfId="1152" priority="30">
      <formula>F105&lt;0</formula>
    </cfRule>
  </conditionalFormatting>
  <conditionalFormatting sqref="F96:F99">
    <cfRule type="expression" dxfId="1151" priority="27">
      <formula>F96&gt;0</formula>
    </cfRule>
    <cfRule type="expression" dxfId="1150" priority="28">
      <formula>F96&lt;0</formula>
    </cfRule>
  </conditionalFormatting>
  <conditionalFormatting sqref="H96:H99">
    <cfRule type="expression" dxfId="1149" priority="25">
      <formula>H96&gt;0</formula>
    </cfRule>
    <cfRule type="expression" dxfId="1148" priority="26">
      <formula>H96&lt;0</formula>
    </cfRule>
  </conditionalFormatting>
  <conditionalFormatting sqref="F25:F28">
    <cfRule type="expression" dxfId="1147" priority="19">
      <formula>F25&gt;0</formula>
    </cfRule>
    <cfRule type="expression" dxfId="1146" priority="20">
      <formula>F25&lt;0</formula>
    </cfRule>
  </conditionalFormatting>
  <conditionalFormatting sqref="H25:H28">
    <cfRule type="expression" dxfId="1145" priority="17">
      <formula>H25&gt;0</formula>
    </cfRule>
    <cfRule type="expression" dxfId="1144" priority="18">
      <formula>H25&lt;0</formula>
    </cfRule>
  </conditionalFormatting>
  <conditionalFormatting sqref="J27">
    <cfRule type="expression" dxfId="1143" priority="15">
      <formula>J27&gt;0</formula>
    </cfRule>
    <cfRule type="expression" dxfId="1142" priority="16">
      <formula>J27&lt;0</formula>
    </cfRule>
  </conditionalFormatting>
  <conditionalFormatting sqref="F104">
    <cfRule type="expression" dxfId="1141" priority="13">
      <formula>F104&gt;0</formula>
    </cfRule>
    <cfRule type="expression" dxfId="1140" priority="14">
      <formula>F104&lt;0</formula>
    </cfRule>
  </conditionalFormatting>
  <conditionalFormatting sqref="H104">
    <cfRule type="expression" dxfId="1139" priority="11">
      <formula>H104&gt;0</formula>
    </cfRule>
    <cfRule type="expression" dxfId="1138" priority="12">
      <formula>H104&lt;0</formula>
    </cfRule>
  </conditionalFormatting>
  <conditionalFormatting sqref="F100:F103">
    <cfRule type="expression" dxfId="1137" priority="9">
      <formula>F100&gt;0</formula>
    </cfRule>
    <cfRule type="expression" dxfId="1136" priority="10">
      <formula>F100&lt;0</formula>
    </cfRule>
  </conditionalFormatting>
  <conditionalFormatting sqref="H100:H103">
    <cfRule type="expression" dxfId="1135" priority="7">
      <formula>H100&gt;0</formula>
    </cfRule>
    <cfRule type="expression" dxfId="1134" priority="8">
      <formula>H100&lt;0</formula>
    </cfRule>
  </conditionalFormatting>
  <conditionalFormatting sqref="J102">
    <cfRule type="expression" dxfId="1133" priority="5">
      <formula>J102&gt;0</formula>
    </cfRule>
    <cfRule type="expression" dxfId="1132" priority="6">
      <formula>J102&lt;0</formula>
    </cfRule>
  </conditionalFormatting>
  <conditionalFormatting sqref="Q10">
    <cfRule type="expression" dxfId="1131" priority="3">
      <formula>Q10&gt;0</formula>
    </cfRule>
    <cfRule type="expression" dxfId="1130" priority="4">
      <formula>Q10&lt;0</formula>
    </cfRule>
  </conditionalFormatting>
  <conditionalFormatting sqref="M71">
    <cfRule type="expression" dxfId="1129" priority="1">
      <formula>M71&gt;0</formula>
    </cfRule>
    <cfRule type="expression" dxfId="112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76.06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76.06</v>
      </c>
      <c r="R4" s="487">
        <v>-3.0700000000000002E-2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83.666000000000011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82.905400000000014</v>
      </c>
      <c r="Q42" s="2"/>
      <c r="T42" s="89"/>
    </row>
    <row r="43" spans="1:21" ht="15.75" thickTop="1" x14ac:dyDescent="0.25">
      <c r="O43" s="81">
        <v>1.08</v>
      </c>
      <c r="P43" s="81">
        <f t="shared" si="0"/>
        <v>82.144800000000004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81.384200000000007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80.62360000000001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79.863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79.102400000000003</v>
      </c>
      <c r="Q47" s="2"/>
      <c r="T47" s="91"/>
      <c r="U47" s="127"/>
    </row>
    <row r="48" spans="1:21" x14ac:dyDescent="0.25">
      <c r="A48" s="258" t="s">
        <v>742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78.341800000000006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77.58120000000001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76.820599999999999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76.06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75.299400000000006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74.538799999999995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73.778199999999998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73.017600000000002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72.257000000000005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71.496399999999994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70.735800000000012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69.975200000000001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69.214600000000004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68.454000000000008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127" priority="33">
      <formula>F34&gt;0</formula>
    </cfRule>
    <cfRule type="expression" dxfId="1126" priority="34">
      <formula>F34&lt;0</formula>
    </cfRule>
  </conditionalFormatting>
  <conditionalFormatting sqref="Q7">
    <cfRule type="expression" dxfId="1125" priority="31">
      <formula>Q7&gt;0</formula>
    </cfRule>
    <cfRule type="expression" dxfId="1124" priority="32">
      <formula>Q7&lt;0</formula>
    </cfRule>
  </conditionalFormatting>
  <conditionalFormatting sqref="Q8">
    <cfRule type="expression" dxfId="1123" priority="29">
      <formula>Q8&gt;0</formula>
    </cfRule>
    <cfRule type="expression" dxfId="1122" priority="30">
      <formula>Q8&lt;0</formula>
    </cfRule>
  </conditionalFormatting>
  <conditionalFormatting sqref="F27:F33">
    <cfRule type="expression" dxfId="1121" priority="27">
      <formula>F27&gt;0</formula>
    </cfRule>
    <cfRule type="expression" dxfId="1120" priority="28">
      <formula>F27&lt;0</formula>
    </cfRule>
  </conditionalFormatting>
  <conditionalFormatting sqref="H27:H33">
    <cfRule type="expression" dxfId="1119" priority="25">
      <formula>H27&gt;0</formula>
    </cfRule>
    <cfRule type="expression" dxfId="1118" priority="26">
      <formula>H27&lt;0</formula>
    </cfRule>
  </conditionalFormatting>
  <conditionalFormatting sqref="M46">
    <cfRule type="expression" dxfId="1117" priority="23">
      <formula>M46&gt;0</formula>
    </cfRule>
    <cfRule type="expression" dxfId="1116" priority="24">
      <formula>M46&lt;0</formula>
    </cfRule>
  </conditionalFormatting>
  <conditionalFormatting sqref="F79:F87 H79:H87">
    <cfRule type="expression" dxfId="1115" priority="21">
      <formula>F79&gt;0</formula>
    </cfRule>
    <cfRule type="expression" dxfId="1114" priority="22">
      <formula>F79&lt;0</formula>
    </cfRule>
  </conditionalFormatting>
  <conditionalFormatting sqref="F73 F77:F78">
    <cfRule type="expression" dxfId="1113" priority="19">
      <formula>F73&gt;0</formula>
    </cfRule>
    <cfRule type="expression" dxfId="1112" priority="20">
      <formula>F73&lt;0</formula>
    </cfRule>
  </conditionalFormatting>
  <conditionalFormatting sqref="H73 H77:H78">
    <cfRule type="expression" dxfId="1111" priority="17">
      <formula>H73&gt;0</formula>
    </cfRule>
    <cfRule type="expression" dxfId="1110" priority="18">
      <formula>H73&lt;0</formula>
    </cfRule>
  </conditionalFormatting>
  <conditionalFormatting sqref="F70:F72">
    <cfRule type="expression" dxfId="1109" priority="15">
      <formula>F70&gt;0</formula>
    </cfRule>
    <cfRule type="expression" dxfId="1108" priority="16">
      <formula>F70&lt;0</formula>
    </cfRule>
  </conditionalFormatting>
  <conditionalFormatting sqref="H70:H72">
    <cfRule type="expression" dxfId="1107" priority="13">
      <formula>H70&gt;0</formula>
    </cfRule>
    <cfRule type="expression" dxfId="1106" priority="14">
      <formula>H70&lt;0</formula>
    </cfRule>
  </conditionalFormatting>
  <conditionalFormatting sqref="F25:F26">
    <cfRule type="expression" dxfId="1105" priority="11">
      <formula>F25&gt;0</formula>
    </cfRule>
    <cfRule type="expression" dxfId="1104" priority="12">
      <formula>F25&lt;0</formula>
    </cfRule>
  </conditionalFormatting>
  <conditionalFormatting sqref="H25:H26">
    <cfRule type="expression" dxfId="1103" priority="9">
      <formula>H25&gt;0</formula>
    </cfRule>
    <cfRule type="expression" dxfId="1102" priority="10">
      <formula>H25&lt;0</formula>
    </cfRule>
  </conditionalFormatting>
  <conditionalFormatting sqref="F76">
    <cfRule type="expression" dxfId="1101" priority="7">
      <formula>F76&gt;0</formula>
    </cfRule>
    <cfRule type="expression" dxfId="1100" priority="8">
      <formula>F76&lt;0</formula>
    </cfRule>
  </conditionalFormatting>
  <conditionalFormatting sqref="H76">
    <cfRule type="expression" dxfId="1099" priority="5">
      <formula>H76&gt;0</formula>
    </cfRule>
    <cfRule type="expression" dxfId="1098" priority="6">
      <formula>H76&lt;0</formula>
    </cfRule>
  </conditionalFormatting>
  <conditionalFormatting sqref="F74:F75">
    <cfRule type="expression" dxfId="1097" priority="3">
      <formula>F74&gt;0</formula>
    </cfRule>
    <cfRule type="expression" dxfId="1096" priority="4">
      <formula>F74&lt;0</formula>
    </cfRule>
  </conditionalFormatting>
  <conditionalFormatting sqref="H74:H75">
    <cfRule type="expression" dxfId="1095" priority="1">
      <formula>H74&gt;0</formula>
    </cfRule>
    <cfRule type="expression" dxfId="109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790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10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100</v>
      </c>
      <c r="T2" s="1">
        <v>43114</v>
      </c>
      <c r="U2" t="s">
        <v>951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70.825099999999978</v>
      </c>
      <c r="T3" s="1"/>
      <c r="U3" t="s">
        <v>952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70.430000000000007</v>
      </c>
      <c r="R4" s="509">
        <v>-4.2599999999999999E-2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7043.0000000000009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7082.5099999999975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-39.50999999999749</v>
      </c>
      <c r="R7">
        <v>50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-39.50999999999749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-5.5785307751062127E-3</v>
      </c>
      <c r="V9" s="134"/>
    </row>
    <row r="10" spans="1:22" x14ac:dyDescent="0.25">
      <c r="B10" s="48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H11" s="70"/>
      <c r="O11" s="11" t="s">
        <v>176</v>
      </c>
      <c r="P11" s="33"/>
      <c r="Q11" s="134">
        <f>R11*4/Q4</f>
        <v>2.2717591935254862E-2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SUM(C2:C10)</f>
        <v>450</v>
      </c>
      <c r="D18" s="18"/>
      <c r="E18" s="18"/>
      <c r="F18" s="18">
        <f>SUM(F2:F10)</f>
        <v>32169.94</v>
      </c>
      <c r="G18" s="14"/>
      <c r="H18" s="71">
        <f>SUM(H2:H6)</f>
        <v>350</v>
      </c>
      <c r="I18" s="18"/>
      <c r="J18" s="18"/>
      <c r="K18" s="18">
        <f>SUM(K2:K6)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516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821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823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828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833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840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907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913</v>
      </c>
      <c r="J40" s="39"/>
      <c r="K40" s="39"/>
      <c r="L40" s="39"/>
      <c r="O40" s="802" t="s">
        <v>78</v>
      </c>
      <c r="P40" s="802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77.473000000000013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3" si="22">C42*(E42-D42)</f>
        <v>214.93000000000038</v>
      </c>
      <c r="G42" s="39">
        <f t="shared" ref="G42:G43" si="23">D42*C42</f>
        <v>3574.0699999999997</v>
      </c>
      <c r="H42" s="226">
        <f t="shared" ref="H42:H43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76.76870000000001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76.064400000000006</v>
      </c>
      <c r="Q43" s="2"/>
      <c r="T43" s="125"/>
      <c r="U43" s="126"/>
      <c r="V43" s="134"/>
    </row>
    <row r="44" spans="1:22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25"/>
        <v>75.360100000000017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74.655800000000013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73.95150000000001</v>
      </c>
      <c r="Q46" s="2"/>
      <c r="T46" s="91"/>
      <c r="U46" s="127"/>
      <c r="V46" s="134"/>
    </row>
    <row r="47" spans="1:22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25"/>
        <v>73.247200000000007</v>
      </c>
      <c r="Q47" s="2"/>
      <c r="T47" s="91"/>
      <c r="U47" s="127"/>
      <c r="V47" s="134"/>
    </row>
    <row r="48" spans="1:22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25"/>
        <v>72.542900000000003</v>
      </c>
      <c r="Q48" s="2"/>
      <c r="T48" s="91"/>
      <c r="U48" s="127"/>
      <c r="V48" s="134"/>
    </row>
    <row r="49" spans="1:22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25"/>
        <v>71.838600000000014</v>
      </c>
      <c r="Q49" s="2"/>
      <c r="T49" s="91"/>
      <c r="U49" s="127"/>
      <c r="V49" s="134"/>
    </row>
    <row r="50" spans="1:22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25"/>
        <v>71.13430000000001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25"/>
        <v>70.430000000000007</v>
      </c>
      <c r="Q51" s="2"/>
      <c r="T51" s="91"/>
      <c r="U51" s="127"/>
      <c r="V51" s="134"/>
    </row>
    <row r="52" spans="1:22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25"/>
        <v>69.725700000000003</v>
      </c>
      <c r="Q52" s="2"/>
      <c r="T52" s="91"/>
      <c r="U52" s="127"/>
      <c r="V52" s="134"/>
    </row>
    <row r="53" spans="1:22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25"/>
        <v>69.0214</v>
      </c>
      <c r="Q53" s="2"/>
      <c r="T53" s="91"/>
      <c r="U53" s="128"/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25"/>
        <v>68.317100000000011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67.612800000000007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66.908500000000004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66.2042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65.499900000000011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64.795600000000007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64.091300000000004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63.387000000000008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789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93" priority="21">
      <formula>F47&gt;0</formula>
    </cfRule>
    <cfRule type="expression" dxfId="1092" priority="22">
      <formula>F47&lt;0</formula>
    </cfRule>
  </conditionalFormatting>
  <conditionalFormatting sqref="Q7">
    <cfRule type="expression" dxfId="1091" priority="19">
      <formula>Q7&gt;0</formula>
    </cfRule>
    <cfRule type="expression" dxfId="1090" priority="20">
      <formula>Q7&lt;0</formula>
    </cfRule>
  </conditionalFormatting>
  <conditionalFormatting sqref="Q8">
    <cfRule type="expression" dxfId="1089" priority="17">
      <formula>Q8&gt;0</formula>
    </cfRule>
    <cfRule type="expression" dxfId="1088" priority="18">
      <formula>Q8&lt;0</formula>
    </cfRule>
  </conditionalFormatting>
  <conditionalFormatting sqref="F25:F46">
    <cfRule type="expression" dxfId="1087" priority="15">
      <formula>F25&gt;0</formula>
    </cfRule>
    <cfRule type="expression" dxfId="1086" priority="16">
      <formula>F25&lt;0</formula>
    </cfRule>
  </conditionalFormatting>
  <conditionalFormatting sqref="H25:H46">
    <cfRule type="expression" dxfId="1085" priority="13">
      <formula>H25&gt;0</formula>
    </cfRule>
    <cfRule type="expression" dxfId="1084" priority="14">
      <formula>H25&lt;0</formula>
    </cfRule>
  </conditionalFormatting>
  <conditionalFormatting sqref="F89:F110">
    <cfRule type="expression" dxfId="1083" priority="11">
      <formula>F89&gt;0</formula>
    </cfRule>
    <cfRule type="expression" dxfId="1082" priority="12">
      <formula>F89&lt;0</formula>
    </cfRule>
  </conditionalFormatting>
  <conditionalFormatting sqref="H89:H110">
    <cfRule type="expression" dxfId="1081" priority="9">
      <formula>H89&gt;0</formula>
    </cfRule>
    <cfRule type="expression" dxfId="1080" priority="10">
      <formula>H89&lt;0</formula>
    </cfRule>
  </conditionalFormatting>
  <conditionalFormatting sqref="Q10">
    <cfRule type="expression" dxfId="1079" priority="7">
      <formula>Q10&gt;0</formula>
    </cfRule>
    <cfRule type="expression" dxfId="1078" priority="8">
      <formula>Q10&lt;0</formula>
    </cfRule>
  </conditionalFormatting>
  <conditionalFormatting sqref="J25:J38">
    <cfRule type="expression" dxfId="1077" priority="5">
      <formula>J25&gt;0</formula>
    </cfRule>
    <cfRule type="expression" dxfId="1076" priority="6">
      <formula>J25&lt;0</formula>
    </cfRule>
  </conditionalFormatting>
  <conditionalFormatting sqref="K25:K38">
    <cfRule type="expression" dxfId="1075" priority="3">
      <formula>K25&gt;0</formula>
    </cfRule>
    <cfRule type="expression" dxfId="1074" priority="4">
      <formula>K25&lt;0</formula>
    </cfRule>
  </conditionalFormatting>
  <conditionalFormatting sqref="L25:L38">
    <cfRule type="expression" dxfId="1073" priority="1">
      <formula>L25&gt;0</formula>
    </cfRule>
    <cfRule type="expression" dxfId="107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789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731.59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731.59</v>
      </c>
      <c r="R4" s="509">
        <v>-2.53E-2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804.74900000000014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797.43310000000008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790.11720000000014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782.80130000000008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775.48540000000003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768.16950000000008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760.85360000000003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753.53770000000009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746.22180000000003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738.90590000000009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731.59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724.27409999999998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716.95820000000003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709.64229999999998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702.32640000000004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695.01049999999998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687.69460000000004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680.37870000000009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673.06280000000004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665.7469000000001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658.43100000000004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789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71" priority="21">
      <formula>F47&gt;0</formula>
    </cfRule>
    <cfRule type="expression" dxfId="1070" priority="22">
      <formula>F47&lt;0</formula>
    </cfRule>
  </conditionalFormatting>
  <conditionalFormatting sqref="Q7">
    <cfRule type="expression" dxfId="1069" priority="19">
      <formula>Q7&gt;0</formula>
    </cfRule>
    <cfRule type="expression" dxfId="1068" priority="20">
      <formula>Q7&lt;0</formula>
    </cfRule>
  </conditionalFormatting>
  <conditionalFormatting sqref="Q8">
    <cfRule type="expression" dxfId="1067" priority="17">
      <formula>Q8&gt;0</formula>
    </cfRule>
    <cfRule type="expression" dxfId="1066" priority="18">
      <formula>Q8&lt;0</formula>
    </cfRule>
  </conditionalFormatting>
  <conditionalFormatting sqref="F25:F46">
    <cfRule type="expression" dxfId="1065" priority="15">
      <formula>F25&gt;0</formula>
    </cfRule>
    <cfRule type="expression" dxfId="1064" priority="16">
      <formula>F25&lt;0</formula>
    </cfRule>
  </conditionalFormatting>
  <conditionalFormatting sqref="H25:H46">
    <cfRule type="expression" dxfId="1063" priority="13">
      <formula>H25&gt;0</formula>
    </cfRule>
    <cfRule type="expression" dxfId="1062" priority="14">
      <formula>H25&lt;0</formula>
    </cfRule>
  </conditionalFormatting>
  <conditionalFormatting sqref="F89:F110">
    <cfRule type="expression" dxfId="1061" priority="11">
      <formula>F89&gt;0</formula>
    </cfRule>
    <cfRule type="expression" dxfId="1060" priority="12">
      <formula>F89&lt;0</formula>
    </cfRule>
  </conditionalFormatting>
  <conditionalFormatting sqref="H89:H110">
    <cfRule type="expression" dxfId="1059" priority="9">
      <formula>H89&gt;0</formula>
    </cfRule>
    <cfRule type="expression" dxfId="1058" priority="10">
      <formula>H89&lt;0</formula>
    </cfRule>
  </conditionalFormatting>
  <conditionalFormatting sqref="Q10">
    <cfRule type="expression" dxfId="1057" priority="7">
      <formula>Q10&gt;0</formula>
    </cfRule>
    <cfRule type="expression" dxfId="1056" priority="8">
      <formula>Q10&lt;0</formula>
    </cfRule>
  </conditionalFormatting>
  <conditionalFormatting sqref="J25:J38">
    <cfRule type="expression" dxfId="1055" priority="5">
      <formula>J25&gt;0</formula>
    </cfRule>
    <cfRule type="expression" dxfId="1054" priority="6">
      <formula>J25&lt;0</formula>
    </cfRule>
  </conditionalFormatting>
  <conditionalFormatting sqref="K25:K38">
    <cfRule type="expression" dxfId="1053" priority="3">
      <formula>K25&gt;0</formula>
    </cfRule>
    <cfRule type="expression" dxfId="1052" priority="4">
      <formula>K25&lt;0</formula>
    </cfRule>
  </conditionalFormatting>
  <conditionalFormatting sqref="L25:L38">
    <cfRule type="expression" dxfId="1051" priority="1">
      <formula>L25&gt;0</formula>
    </cfRule>
    <cfRule type="expression" dxfId="10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7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6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>
        <v>43080</v>
      </c>
      <c r="U2" t="s">
        <v>878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145.22</v>
      </c>
      <c r="R4" s="509">
        <v>-3.15E-2</v>
      </c>
      <c r="T4" s="792">
        <v>43103</v>
      </c>
      <c r="U4" s="30" t="s">
        <v>903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2904.4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-95.599999999999909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-95.599999999999909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-3.1866666666666633E-2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1">C25*(E25-D25)</f>
        <v>-1.0000000000002274</v>
      </c>
      <c r="G25" s="39">
        <f t="shared" ref="G25" si="2">D25*C25</f>
        <v>3000</v>
      </c>
      <c r="H25" s="226">
        <f t="shared" ref="H25" si="3">(E25-D25)/D25</f>
        <v>-3.3333333333340911E-4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159.74200000000002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158.28980000000001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156.83760000000001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155.3854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153.9332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152.48099999999999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151.02880000000002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149.57660000000001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148.12440000000001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146.6722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145.22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143.76779999999999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142.31559999999999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140.86339999999998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139.41119999999998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137.959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136.5068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135.05459999999999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133.60240000000002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132.15020000000001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130.69800000000001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986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49" priority="31">
      <formula>F47&gt;0</formula>
    </cfRule>
    <cfRule type="expression" dxfId="1048" priority="32">
      <formula>F47&lt;0</formula>
    </cfRule>
  </conditionalFormatting>
  <conditionalFormatting sqref="Q7">
    <cfRule type="expression" dxfId="1047" priority="29">
      <formula>Q7&gt;0</formula>
    </cfRule>
    <cfRule type="expression" dxfId="1046" priority="30">
      <formula>Q7&lt;0</formula>
    </cfRule>
  </conditionalFormatting>
  <conditionalFormatting sqref="Q8">
    <cfRule type="expression" dxfId="1045" priority="27">
      <formula>Q8&gt;0</formula>
    </cfRule>
    <cfRule type="expression" dxfId="1044" priority="28">
      <formula>Q8&lt;0</formula>
    </cfRule>
  </conditionalFormatting>
  <conditionalFormatting sqref="F30:F46">
    <cfRule type="expression" dxfId="1043" priority="25">
      <formula>F30&gt;0</formula>
    </cfRule>
    <cfRule type="expression" dxfId="1042" priority="26">
      <formula>F30&lt;0</formula>
    </cfRule>
  </conditionalFormatting>
  <conditionalFormatting sqref="H30:H46">
    <cfRule type="expression" dxfId="1041" priority="23">
      <formula>H30&gt;0</formula>
    </cfRule>
    <cfRule type="expression" dxfId="1040" priority="24">
      <formula>H30&lt;0</formula>
    </cfRule>
  </conditionalFormatting>
  <conditionalFormatting sqref="Q10">
    <cfRule type="expression" dxfId="1039" priority="21">
      <formula>Q10&gt;0</formula>
    </cfRule>
    <cfRule type="expression" dxfId="1038" priority="22">
      <formula>Q10&lt;0</formula>
    </cfRule>
  </conditionalFormatting>
  <conditionalFormatting sqref="J25:J38">
    <cfRule type="expression" dxfId="1037" priority="19">
      <formula>J25&gt;0</formula>
    </cfRule>
    <cfRule type="expression" dxfId="1036" priority="20">
      <formula>J25&lt;0</formula>
    </cfRule>
  </conditionalFormatting>
  <conditionalFormatting sqref="K25:K38">
    <cfRule type="expression" dxfId="1035" priority="17">
      <formula>K25&gt;0</formula>
    </cfRule>
    <cfRule type="expression" dxfId="1034" priority="18">
      <formula>K25&lt;0</formula>
    </cfRule>
  </conditionalFormatting>
  <conditionalFormatting sqref="L25:L38">
    <cfRule type="expression" dxfId="1033" priority="15">
      <formula>L25&gt;0</formula>
    </cfRule>
    <cfRule type="expression" dxfId="1032" priority="16">
      <formula>L25&lt;0</formula>
    </cfRule>
  </conditionalFormatting>
  <conditionalFormatting sqref="F89:F110">
    <cfRule type="expression" dxfId="1031" priority="13">
      <formula>F89&gt;0</formula>
    </cfRule>
    <cfRule type="expression" dxfId="1030" priority="14">
      <formula>F89&lt;0</formula>
    </cfRule>
  </conditionalFormatting>
  <conditionalFormatting sqref="H89:H110">
    <cfRule type="expression" dxfId="1029" priority="11">
      <formula>H89&gt;0</formula>
    </cfRule>
    <cfRule type="expression" dxfId="1028" priority="12">
      <formula>H89&lt;0</formula>
    </cfRule>
  </conditionalFormatting>
  <conditionalFormatting sqref="J89:J102">
    <cfRule type="expression" dxfId="1027" priority="9">
      <formula>J89&gt;0</formula>
    </cfRule>
    <cfRule type="expression" dxfId="1026" priority="10">
      <formula>J89&lt;0</formula>
    </cfRule>
  </conditionalFormatting>
  <conditionalFormatting sqref="K89:K102">
    <cfRule type="expression" dxfId="1025" priority="7">
      <formula>K89&gt;0</formula>
    </cfRule>
    <cfRule type="expression" dxfId="1024" priority="8">
      <formula>K89&lt;0</formula>
    </cfRule>
  </conditionalFormatting>
  <conditionalFormatting sqref="L89:L102">
    <cfRule type="expression" dxfId="1023" priority="5">
      <formula>L89&gt;0</formula>
    </cfRule>
    <cfRule type="expression" dxfId="1022" priority="6">
      <formula>L89&lt;0</formula>
    </cfRule>
  </conditionalFormatting>
  <conditionalFormatting sqref="F25:F29">
    <cfRule type="expression" dxfId="1021" priority="3">
      <formula>F25&gt;0</formula>
    </cfRule>
    <cfRule type="expression" dxfId="1020" priority="4">
      <formula>F25&lt;0</formula>
    </cfRule>
  </conditionalFormatting>
  <conditionalFormatting sqref="H25:H29">
    <cfRule type="expression" dxfId="1019" priority="1">
      <formula>H25&gt;0</formula>
    </cfRule>
    <cfRule type="expression" dxfId="10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486">
        <v>43133</v>
      </c>
      <c r="C2" s="4">
        <v>15</v>
      </c>
      <c r="D2" s="3">
        <v>255.28</v>
      </c>
      <c r="E2" s="3">
        <v>0</v>
      </c>
      <c r="F2" s="3">
        <f t="shared" ref="F2:F3" si="0">C2*D2+E2</f>
        <v>3829.2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43080</v>
      </c>
      <c r="U2" t="s">
        <v>878</v>
      </c>
    </row>
    <row r="3" spans="1:21" x14ac:dyDescent="0.25">
      <c r="A3" s="22" t="s">
        <v>71</v>
      </c>
      <c r="B3" s="486">
        <v>43136</v>
      </c>
      <c r="C3" s="4">
        <v>15</v>
      </c>
      <c r="D3" s="3">
        <v>240.11</v>
      </c>
      <c r="E3" s="3">
        <v>0</v>
      </c>
      <c r="F3" s="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247.69500000000002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243.27</v>
      </c>
      <c r="R4" s="509">
        <v>-4.5699999999999998E-2</v>
      </c>
      <c r="T4" s="792">
        <v>43103</v>
      </c>
      <c r="U4" s="30" t="s">
        <v>903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7298.1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7430.85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-132.75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-132.75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-1.7864712650638891E-2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</v>
      </c>
      <c r="D18" s="18"/>
      <c r="E18" s="18"/>
      <c r="F18" s="18">
        <f>SUM(F2:F8)</f>
        <v>7430.85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718</v>
      </c>
      <c r="L24" s="224" t="s">
        <v>724</v>
      </c>
    </row>
    <row r="25" spans="1:13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1">C25*(E25-D25)</f>
        <v>-5.2499999999999147</v>
      </c>
      <c r="G25" s="39">
        <f t="shared" ref="G25" si="2">D25*C25</f>
        <v>3829.2</v>
      </c>
      <c r="H25" s="226">
        <f t="shared" ref="H25" si="3">(E25-D25)/D25</f>
        <v>-1.3710435600125129E-3</v>
      </c>
      <c r="I25" s="39"/>
      <c r="J25" s="39"/>
      <c r="K25" s="39"/>
      <c r="L25" s="39"/>
    </row>
    <row r="26" spans="1:13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4">C26*(E26-D26)</f>
        <v>-132.74999999999949</v>
      </c>
      <c r="G26" s="39">
        <f t="shared" ref="G26" si="5">D26*C26</f>
        <v>7430.8499999999995</v>
      </c>
      <c r="H26" s="226">
        <f t="shared" ref="H26" si="6">(E26-D26)/D26</f>
        <v>-1.7864712650638822E-2</v>
      </c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267.59700000000004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7">O42*$Q$4</f>
        <v>265.16430000000003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7"/>
        <v>262.73160000000001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7"/>
        <v>260.2989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7"/>
        <v>257.86620000000005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7"/>
        <v>255.43350000000001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7"/>
        <v>253.00080000000003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7"/>
        <v>250.56810000000002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7"/>
        <v>248.1354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7"/>
        <v>245.70270000000002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7"/>
        <v>243.27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7"/>
        <v>240.8373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7"/>
        <v>238.40460000000002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7"/>
        <v>235.97190000000001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7"/>
        <v>233.53919999999999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7"/>
        <v>231.10650000000001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7"/>
        <v>228.6738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7"/>
        <v>226.24110000000002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7"/>
        <v>223.80840000000001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7"/>
        <v>221.37570000000002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7"/>
        <v>218.94300000000001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985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718</v>
      </c>
      <c r="L88" s="224" t="s">
        <v>724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17" priority="31">
      <formula>F47&gt;0</formula>
    </cfRule>
    <cfRule type="expression" dxfId="1016" priority="32">
      <formula>F47&lt;0</formula>
    </cfRule>
  </conditionalFormatting>
  <conditionalFormatting sqref="Q7">
    <cfRule type="expression" dxfId="1015" priority="29">
      <formula>Q7&gt;0</formula>
    </cfRule>
    <cfRule type="expression" dxfId="1014" priority="30">
      <formula>Q7&lt;0</formula>
    </cfRule>
  </conditionalFormatting>
  <conditionalFormatting sqref="Q8">
    <cfRule type="expression" dxfId="1013" priority="27">
      <formula>Q8&gt;0</formula>
    </cfRule>
    <cfRule type="expression" dxfId="1012" priority="28">
      <formula>Q8&lt;0</formula>
    </cfRule>
  </conditionalFormatting>
  <conditionalFormatting sqref="F30:F46">
    <cfRule type="expression" dxfId="1011" priority="25">
      <formula>F30&gt;0</formula>
    </cfRule>
    <cfRule type="expression" dxfId="1010" priority="26">
      <formula>F30&lt;0</formula>
    </cfRule>
  </conditionalFormatting>
  <conditionalFormatting sqref="H30:H46">
    <cfRule type="expression" dxfId="1009" priority="23">
      <formula>H30&gt;0</formula>
    </cfRule>
    <cfRule type="expression" dxfId="1008" priority="24">
      <formula>H30&lt;0</formula>
    </cfRule>
  </conditionalFormatting>
  <conditionalFormatting sqref="Q10">
    <cfRule type="expression" dxfId="1007" priority="21">
      <formula>Q10&gt;0</formula>
    </cfRule>
    <cfRule type="expression" dxfId="1006" priority="22">
      <formula>Q10&lt;0</formula>
    </cfRule>
  </conditionalFormatting>
  <conditionalFormatting sqref="J25:J38">
    <cfRule type="expression" dxfId="1005" priority="19">
      <formula>J25&gt;0</formula>
    </cfRule>
    <cfRule type="expression" dxfId="1004" priority="20">
      <formula>J25&lt;0</formula>
    </cfRule>
  </conditionalFormatting>
  <conditionalFormatting sqref="K25:K38">
    <cfRule type="expression" dxfId="1003" priority="17">
      <formula>K25&gt;0</formula>
    </cfRule>
    <cfRule type="expression" dxfId="1002" priority="18">
      <formula>K25&lt;0</formula>
    </cfRule>
  </conditionalFormatting>
  <conditionalFormatting sqref="L25:L38">
    <cfRule type="expression" dxfId="1001" priority="15">
      <formula>L25&gt;0</formula>
    </cfRule>
    <cfRule type="expression" dxfId="1000" priority="16">
      <formula>L25&lt;0</formula>
    </cfRule>
  </conditionalFormatting>
  <conditionalFormatting sqref="F89:F110">
    <cfRule type="expression" dxfId="999" priority="13">
      <formula>F89&gt;0</formula>
    </cfRule>
    <cfRule type="expression" dxfId="998" priority="14">
      <formula>F89&lt;0</formula>
    </cfRule>
  </conditionalFormatting>
  <conditionalFormatting sqref="H89:H110">
    <cfRule type="expression" dxfId="997" priority="11">
      <formula>H89&gt;0</formula>
    </cfRule>
    <cfRule type="expression" dxfId="996" priority="12">
      <formula>H89&lt;0</formula>
    </cfRule>
  </conditionalFormatting>
  <conditionalFormatting sqref="J89:J102">
    <cfRule type="expression" dxfId="995" priority="9">
      <formula>J89&gt;0</formula>
    </cfRule>
    <cfRule type="expression" dxfId="994" priority="10">
      <formula>J89&lt;0</formula>
    </cfRule>
  </conditionalFormatting>
  <conditionalFormatting sqref="K89:K102">
    <cfRule type="expression" dxfId="993" priority="7">
      <formula>K89&gt;0</formula>
    </cfRule>
    <cfRule type="expression" dxfId="992" priority="8">
      <formula>K89&lt;0</formula>
    </cfRule>
  </conditionalFormatting>
  <conditionalFormatting sqref="L89:L102">
    <cfRule type="expression" dxfId="991" priority="5">
      <formula>L89&gt;0</formula>
    </cfRule>
    <cfRule type="expression" dxfId="990" priority="6">
      <formula>L89&lt;0</formula>
    </cfRule>
  </conditionalFormatting>
  <conditionalFormatting sqref="F25:F29">
    <cfRule type="expression" dxfId="989" priority="3">
      <formula>F25&gt;0</formula>
    </cfRule>
    <cfRule type="expression" dxfId="988" priority="4">
      <formula>F25&lt;0</formula>
    </cfRule>
  </conditionalFormatting>
  <conditionalFormatting sqref="H25:H29">
    <cfRule type="expression" dxfId="987" priority="1">
      <formula>H25&gt;0</formula>
    </cfRule>
    <cfRule type="expression" dxfId="9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64.39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64.39</v>
      </c>
      <c r="R4" s="487">
        <v>-4.2099999999999999E-2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516</v>
      </c>
      <c r="J22" s="224" t="s">
        <v>150</v>
      </c>
      <c r="K22" s="224" t="s">
        <v>718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802" t="s">
        <v>78</v>
      </c>
      <c r="P44" s="80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70.829000000000008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70.185100000000006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69.541200000000003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68.897300000000001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68.253399999999999</v>
      </c>
      <c r="T49" s="91" t="s">
        <v>121</v>
      </c>
      <c r="U49" s="127" t="s">
        <v>544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67.609499999999997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66.965600000000009</v>
      </c>
      <c r="T51" s="91" t="s">
        <v>104</v>
      </c>
      <c r="U51" s="127" t="s">
        <v>637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66.321700000000007</v>
      </c>
      <c r="T52" s="91" t="s">
        <v>105</v>
      </c>
      <c r="U52" s="127" t="s">
        <v>638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65.677800000000005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65.033900000000003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64.39</v>
      </c>
      <c r="T55" s="91" t="s">
        <v>107</v>
      </c>
      <c r="U55" s="127" t="s">
        <v>639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63.746099999999998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63.102199999999996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62.458300000000001</v>
      </c>
      <c r="T58" s="91" t="s">
        <v>108</v>
      </c>
      <c r="U58" s="127" t="s">
        <v>565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61.814399999999999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61.170499999999997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60.526599999999995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59.882700000000007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59.238800000000005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58.594900000000003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57.951000000000001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85" priority="57">
      <formula>F27&gt;0</formula>
    </cfRule>
    <cfRule type="expression" dxfId="984" priority="58">
      <formula>F27&lt;0</formula>
    </cfRule>
  </conditionalFormatting>
  <conditionalFormatting sqref="H28:H33">
    <cfRule type="expression" dxfId="983" priority="53">
      <formula>H28&gt;0</formula>
    </cfRule>
    <cfRule type="expression" dxfId="982" priority="54">
      <formula>H28&lt;0</formula>
    </cfRule>
  </conditionalFormatting>
  <conditionalFormatting sqref="F24:F26">
    <cfRule type="expression" dxfId="981" priority="39">
      <formula>F24&gt;0</formula>
    </cfRule>
    <cfRule type="expression" dxfId="980" priority="40">
      <formula>F24&lt;0</formula>
    </cfRule>
  </conditionalFormatting>
  <conditionalFormatting sqref="Q8">
    <cfRule type="expression" dxfId="979" priority="33">
      <formula>Q8&gt;0</formula>
    </cfRule>
    <cfRule type="expression" dxfId="978" priority="34">
      <formula>Q8&lt;0</formula>
    </cfRule>
  </conditionalFormatting>
  <conditionalFormatting sqref="Q7">
    <cfRule type="expression" dxfId="977" priority="35">
      <formula>Q7&gt;0</formula>
    </cfRule>
    <cfRule type="expression" dxfId="976" priority="36">
      <formula>Q7&lt;0</formula>
    </cfRule>
  </conditionalFormatting>
  <conditionalFormatting sqref="F34">
    <cfRule type="expression" dxfId="975" priority="31">
      <formula>F34&gt;0</formula>
    </cfRule>
    <cfRule type="expression" dxfId="974" priority="32">
      <formula>F34&lt;0</formula>
    </cfRule>
  </conditionalFormatting>
  <conditionalFormatting sqref="H34">
    <cfRule type="expression" dxfId="973" priority="29">
      <formula>H34&gt;0</formula>
    </cfRule>
    <cfRule type="expression" dxfId="972" priority="30">
      <formula>H34&lt;0</formula>
    </cfRule>
  </conditionalFormatting>
  <conditionalFormatting sqref="M36">
    <cfRule type="expression" dxfId="971" priority="19">
      <formula>M36&gt;0</formula>
    </cfRule>
    <cfRule type="expression" dxfId="970" priority="20">
      <formula>M36&lt;0</formula>
    </cfRule>
  </conditionalFormatting>
  <conditionalFormatting sqref="Q10">
    <cfRule type="expression" dxfId="969" priority="15">
      <formula>Q10&gt;0</formula>
    </cfRule>
    <cfRule type="expression" dxfId="968" priority="16">
      <formula>Q10&lt;0</formula>
    </cfRule>
  </conditionalFormatting>
  <conditionalFormatting sqref="F23">
    <cfRule type="expression" dxfId="967" priority="13">
      <formula>F23&gt;0</formula>
    </cfRule>
    <cfRule type="expression" dxfId="966" priority="14">
      <formula>F23&lt;0</formula>
    </cfRule>
  </conditionalFormatting>
  <conditionalFormatting sqref="I25:J25">
    <cfRule type="expression" dxfId="965" priority="9">
      <formula>I25&gt;0</formula>
    </cfRule>
    <cfRule type="expression" dxfId="964" priority="10">
      <formula>I25&lt;0</formula>
    </cfRule>
  </conditionalFormatting>
  <conditionalFormatting sqref="I26:J27">
    <cfRule type="expression" dxfId="963" priority="7">
      <formula>I26&gt;0</formula>
    </cfRule>
    <cfRule type="expression" dxfId="962" priority="8">
      <formula>I26&lt;0</formula>
    </cfRule>
  </conditionalFormatting>
  <conditionalFormatting sqref="K25:K27">
    <cfRule type="expression" dxfId="961" priority="5">
      <formula>K25&gt;0</formula>
    </cfRule>
    <cfRule type="expression" dxfId="960" priority="6">
      <formula>K25&lt;0</formula>
    </cfRule>
  </conditionalFormatting>
  <conditionalFormatting sqref="I23:J23">
    <cfRule type="expression" dxfId="959" priority="3">
      <formula>I23&gt;0</formula>
    </cfRule>
    <cfRule type="expression" dxfId="95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C18" sqref="C18:F18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816</v>
      </c>
      <c r="V1" s="748" t="s">
        <v>766</v>
      </c>
      <c r="W1" s="748" t="s">
        <v>815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1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4" t="s">
        <v>817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23.678983333333321</v>
      </c>
      <c r="T3" s="725" t="s">
        <v>761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24.78</v>
      </c>
      <c r="R4" s="487">
        <v>-4.8399999999999999E-2</v>
      </c>
      <c r="T4" s="726" t="s">
        <v>779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14868</v>
      </c>
      <c r="T5" s="727" t="s">
        <v>772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14207.389999999992</v>
      </c>
      <c r="T6" s="728" t="s">
        <v>764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2112.8700000000063</v>
      </c>
      <c r="R7">
        <v>250</v>
      </c>
      <c r="T7" s="728" t="s">
        <v>803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660.61000000000786</v>
      </c>
      <c r="T8" s="728" t="s">
        <v>773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445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4.6497632570092623E-2</v>
      </c>
      <c r="T9" s="728" t="s">
        <v>774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72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8" t="s">
        <v>792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5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4.0355125100887809E-3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H12" s="70"/>
      <c r="T12" s="728" t="s">
        <v>767</v>
      </c>
      <c r="U12" s="730"/>
      <c r="V12" s="736">
        <v>7.0000000000000007E-2</v>
      </c>
      <c r="W12" s="736" t="s">
        <v>818</v>
      </c>
      <c r="X12" s="691"/>
      <c r="Y12" s="691"/>
    </row>
    <row r="13" spans="1:30" x14ac:dyDescent="0.25">
      <c r="B13" s="72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H13" s="70"/>
      <c r="T13" s="728" t="s">
        <v>775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H14" s="70"/>
      <c r="T14" s="728" t="s">
        <v>801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T15" s="728" t="s">
        <v>768</v>
      </c>
      <c r="U15" s="730"/>
      <c r="V15" s="691"/>
      <c r="W15" s="691"/>
      <c r="X15" s="691"/>
      <c r="Y15" s="691"/>
    </row>
    <row r="16" spans="1:30" x14ac:dyDescent="0.25">
      <c r="B16" s="486">
        <v>43131</v>
      </c>
      <c r="C16" s="4">
        <v>100</v>
      </c>
      <c r="D16" s="3">
        <v>26.88</v>
      </c>
      <c r="E16" s="3">
        <v>0</v>
      </c>
      <c r="F16" s="3">
        <f t="shared" si="3"/>
        <v>2688</v>
      </c>
      <c r="H16" s="70"/>
      <c r="T16" s="728" t="s">
        <v>769</v>
      </c>
      <c r="U16" s="730"/>
      <c r="V16" s="691"/>
      <c r="W16" s="691"/>
      <c r="X16" s="691"/>
      <c r="Y16" s="691"/>
    </row>
    <row r="17" spans="1:27" x14ac:dyDescent="0.25">
      <c r="B17" s="486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T17" s="728" t="s">
        <v>784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C18" s="4"/>
      <c r="D18" s="3"/>
      <c r="E18" s="3"/>
      <c r="F18" s="3"/>
      <c r="T18" s="691"/>
      <c r="U18" s="730"/>
      <c r="V18" s="691"/>
      <c r="W18" s="691"/>
      <c r="X18" s="691"/>
      <c r="Y18" s="691"/>
    </row>
    <row r="19" spans="1:27" x14ac:dyDescent="0.25">
      <c r="T19" s="728" t="s">
        <v>780</v>
      </c>
      <c r="U19" s="733" t="s">
        <v>783</v>
      </c>
      <c r="V19" s="728" t="s">
        <v>783</v>
      </c>
      <c r="W19" s="728" t="s">
        <v>783</v>
      </c>
      <c r="X19" s="691"/>
      <c r="Y19" s="691"/>
    </row>
    <row r="20" spans="1:27" x14ac:dyDescent="0.25">
      <c r="T20" s="728" t="s">
        <v>781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803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A22" s="31" t="s">
        <v>81</v>
      </c>
      <c r="B22" s="14"/>
      <c r="C22" s="14">
        <f>SUM(C2:C18)</f>
        <v>1950</v>
      </c>
      <c r="D22" s="18"/>
      <c r="E22" s="18"/>
      <c r="F22" s="18">
        <f>SUM(F2:F18)</f>
        <v>48057.62</v>
      </c>
      <c r="G22" s="14"/>
      <c r="H22" s="14">
        <f>SUM(H2:H11)</f>
        <v>1350</v>
      </c>
      <c r="I22" s="18"/>
      <c r="J22" s="18"/>
      <c r="K22" s="18">
        <f>SUM(K2:K11)</f>
        <v>33585.23000000001</v>
      </c>
      <c r="L22" s="14"/>
      <c r="M22" s="18">
        <f>SUM(M2:M10)</f>
        <v>265</v>
      </c>
      <c r="T22" s="735" t="s">
        <v>800</v>
      </c>
      <c r="U22" s="730">
        <v>975</v>
      </c>
      <c r="V22" s="730">
        <v>799</v>
      </c>
      <c r="W22" s="730"/>
      <c r="X22" s="691"/>
      <c r="Y22" s="691"/>
    </row>
    <row r="23" spans="1:27" ht="15.75" thickBot="1" x14ac:dyDescent="0.3">
      <c r="A23" s="347" t="s">
        <v>194</v>
      </c>
      <c r="B23" s="348"/>
      <c r="C23" s="349">
        <f>SumByColor($A$23,C2:C21)</f>
        <v>1450</v>
      </c>
      <c r="D23" s="349"/>
      <c r="E23" s="349"/>
      <c r="F23" s="350">
        <f>SumByColor($A$23,F2:F21)</f>
        <v>34678</v>
      </c>
      <c r="G23" s="349"/>
      <c r="H23" s="349">
        <f>SumByColor($A$23,H2:H21)</f>
        <v>1350</v>
      </c>
      <c r="I23" s="349"/>
      <c r="J23" s="349"/>
      <c r="K23" s="350">
        <f>SumByColor($A$23,K2:K21)</f>
        <v>33586</v>
      </c>
      <c r="L23" s="349"/>
      <c r="M23" s="350">
        <f>SumByColor($A$23,M2:M21)</f>
        <v>266</v>
      </c>
      <c r="T23" s="691"/>
      <c r="U23" s="730"/>
      <c r="V23" s="691"/>
      <c r="W23" s="691"/>
      <c r="X23" s="691"/>
      <c r="Y23" s="691"/>
    </row>
    <row r="24" spans="1:27" x14ac:dyDescent="0.25">
      <c r="T24" s="725" t="s">
        <v>762</v>
      </c>
      <c r="U24" s="730"/>
      <c r="V24" s="691"/>
      <c r="W24" s="691"/>
      <c r="X24" s="691"/>
      <c r="Y24" s="691"/>
    </row>
    <row r="25" spans="1:27" x14ac:dyDescent="0.25">
      <c r="T25" s="726" t="s">
        <v>776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B26" s="498" t="s">
        <v>113</v>
      </c>
      <c r="C26" s="498" t="s">
        <v>146</v>
      </c>
      <c r="D26" s="499" t="s">
        <v>145</v>
      </c>
      <c r="E26" s="500" t="s">
        <v>147</v>
      </c>
      <c r="F26" s="500" t="s">
        <v>65</v>
      </c>
      <c r="G26" s="502" t="s">
        <v>151</v>
      </c>
      <c r="H26" s="502" t="s">
        <v>88</v>
      </c>
      <c r="I26" s="502" t="s">
        <v>154</v>
      </c>
      <c r="J26" s="502" t="s">
        <v>516</v>
      </c>
      <c r="K26" s="502" t="s">
        <v>150</v>
      </c>
      <c r="T26" s="727" t="s">
        <v>777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B27" s="537">
        <v>42754</v>
      </c>
      <c r="C27" s="541">
        <v>100</v>
      </c>
      <c r="D27" s="542">
        <v>27.58</v>
      </c>
      <c r="E27" s="542">
        <v>30.25</v>
      </c>
      <c r="F27" s="542">
        <f t="shared" ref="F27:F32" si="4">C27*(E27-D27)</f>
        <v>267.00000000000017</v>
      </c>
      <c r="G27" s="542">
        <f t="shared" ref="G27:G32" si="5">D27*C27</f>
        <v>2758</v>
      </c>
      <c r="H27" s="583">
        <f t="shared" ref="H27:H32" si="6">(E27-D27)/D27</f>
        <v>9.6809282088469978E-2</v>
      </c>
      <c r="I27" s="542"/>
      <c r="J27" s="542"/>
      <c r="K27" s="542"/>
      <c r="T27" s="728" t="s">
        <v>764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B28" s="537">
        <v>42758</v>
      </c>
      <c r="C28" s="541">
        <v>100</v>
      </c>
      <c r="D28" s="542">
        <v>27.180700000000002</v>
      </c>
      <c r="E28" s="542">
        <v>31.55</v>
      </c>
      <c r="F28" s="542">
        <f t="shared" si="4"/>
        <v>436.92999999999989</v>
      </c>
      <c r="G28" s="542">
        <f t="shared" si="5"/>
        <v>2718.07</v>
      </c>
      <c r="H28" s="583">
        <f t="shared" si="6"/>
        <v>0.16075009105725749</v>
      </c>
      <c r="I28" s="542"/>
      <c r="J28" s="542"/>
      <c r="K28" s="542"/>
      <c r="T28" s="728" t="s">
        <v>803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 t="s">
        <v>360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4"/>
        <v>37.000000000000099</v>
      </c>
      <c r="G29" s="39">
        <f t="shared" si="5"/>
        <v>3118</v>
      </c>
      <c r="H29" s="226">
        <f t="shared" si="6"/>
        <v>1.1866581141757569E-2</v>
      </c>
      <c r="I29" s="39"/>
      <c r="J29" s="39"/>
      <c r="K29" s="39"/>
      <c r="T29" s="728" t="s">
        <v>773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 t="s">
        <v>360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4"/>
        <v>207.99999999999983</v>
      </c>
      <c r="G30" s="39">
        <f t="shared" si="5"/>
        <v>3118</v>
      </c>
      <c r="H30" s="226">
        <f t="shared" si="6"/>
        <v>6.6709429121231498E-2</v>
      </c>
      <c r="I30" s="39"/>
      <c r="J30" s="39"/>
      <c r="K30" s="39"/>
      <c r="T30" s="728" t="s">
        <v>774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 t="s">
        <v>349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4"/>
        <v>246.00000000000009</v>
      </c>
      <c r="G31" s="39">
        <f t="shared" si="5"/>
        <v>3118</v>
      </c>
      <c r="H31" s="226">
        <f t="shared" si="6"/>
        <v>7.8896728672225816E-2</v>
      </c>
      <c r="I31" s="39"/>
      <c r="J31" s="39"/>
      <c r="K31" s="39"/>
      <c r="T31" s="728" t="s">
        <v>765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4"/>
        <v>-245.99999999999937</v>
      </c>
      <c r="G32" s="39">
        <f t="shared" si="5"/>
        <v>5966</v>
      </c>
      <c r="H32" s="226">
        <f t="shared" si="6"/>
        <v>-4.1233657391887259E-2</v>
      </c>
      <c r="I32" s="39"/>
      <c r="J32" s="39">
        <v>30.72</v>
      </c>
      <c r="K32" s="39">
        <v>1207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7">C33*(E33-D33)</f>
        <v>-161.0599999999998</v>
      </c>
      <c r="G33" s="39">
        <f t="shared" ref="G33" si="8">D33*C33</f>
        <v>3075.06</v>
      </c>
      <c r="H33" s="226">
        <f t="shared" ref="H33" si="9">(E33-D33)/D33</f>
        <v>-5.2376213797454295E-2</v>
      </c>
      <c r="I33" s="39"/>
      <c r="J33" s="39"/>
      <c r="K33" s="39">
        <v>1291</v>
      </c>
      <c r="T33" s="728" t="s">
        <v>767</v>
      </c>
      <c r="U33" s="730"/>
      <c r="V33" s="736">
        <v>0.15</v>
      </c>
      <c r="W33" s="749" t="s">
        <v>819</v>
      </c>
      <c r="X33" s="691"/>
      <c r="Y33" s="691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0">C34*(E34-D34)</f>
        <v>-130.55999999999983</v>
      </c>
      <c r="G34" s="39">
        <f t="shared" ref="G34:G47" si="11">D34*C34</f>
        <v>3047.56</v>
      </c>
      <c r="H34" s="226">
        <f t="shared" ref="H34:H47" si="12">(E34-D34)/D34</f>
        <v>-4.2840830041081988E-2</v>
      </c>
      <c r="I34" s="39"/>
      <c r="J34" s="39">
        <v>30</v>
      </c>
      <c r="K34" s="39">
        <v>1321</v>
      </c>
      <c r="T34" s="728" t="s">
        <v>775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0"/>
        <v>-144.55999999999989</v>
      </c>
      <c r="G35" s="39">
        <f t="shared" si="11"/>
        <v>5882.56</v>
      </c>
      <c r="H35" s="226">
        <f t="shared" si="12"/>
        <v>-2.4574334983408566E-2</v>
      </c>
      <c r="I35" s="39">
        <v>29</v>
      </c>
      <c r="J35" s="39"/>
      <c r="K35" s="39">
        <v>1308</v>
      </c>
      <c r="T35" s="728" t="s">
        <v>801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0"/>
        <v>-898.56000000000017</v>
      </c>
      <c r="G36" s="39">
        <f t="shared" si="11"/>
        <v>8383.56</v>
      </c>
      <c r="H36" s="226">
        <f t="shared" si="12"/>
        <v>-0.10718119748650932</v>
      </c>
      <c r="I36" s="39"/>
      <c r="J36" s="39"/>
      <c r="K36" s="39">
        <v>554</v>
      </c>
      <c r="T36" s="728" t="s">
        <v>768</v>
      </c>
      <c r="U36" s="730"/>
      <c r="V36" s="691"/>
      <c r="W36" s="691"/>
      <c r="X36" s="691"/>
      <c r="Y36" s="691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0"/>
        <v>-1189.5600000000002</v>
      </c>
      <c r="G37" s="39">
        <f t="shared" si="11"/>
        <v>10781.56</v>
      </c>
      <c r="H37" s="226">
        <f t="shared" si="12"/>
        <v>-0.11033282753145186</v>
      </c>
      <c r="I37" s="39"/>
      <c r="J37" s="39"/>
      <c r="K37" s="39"/>
      <c r="T37" s="728" t="s">
        <v>769</v>
      </c>
      <c r="U37" s="730"/>
      <c r="V37" s="691"/>
      <c r="W37" s="691"/>
      <c r="X37" s="691"/>
      <c r="Y37" s="691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0"/>
        <v>-1401.5600000000006</v>
      </c>
      <c r="G38" s="39">
        <f t="shared" si="11"/>
        <v>10781.56</v>
      </c>
      <c r="H38" s="226">
        <f t="shared" si="12"/>
        <v>-0.12999603025907203</v>
      </c>
      <c r="I38" s="39"/>
      <c r="J38" s="39"/>
      <c r="K38" s="39">
        <v>50</v>
      </c>
      <c r="T38" s="728" t="s">
        <v>802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0"/>
        <v>-1631.9999999999993</v>
      </c>
      <c r="G39" s="39">
        <f t="shared" si="11"/>
        <v>15378</v>
      </c>
      <c r="H39" s="226">
        <f t="shared" si="12"/>
        <v>-0.10612563402262969</v>
      </c>
      <c r="I39" s="39"/>
      <c r="J39" s="39"/>
      <c r="K39" s="39">
        <v>-179</v>
      </c>
      <c r="T39" s="728" t="s">
        <v>780</v>
      </c>
      <c r="U39" s="733" t="s">
        <v>793</v>
      </c>
      <c r="V39" s="728" t="s">
        <v>783</v>
      </c>
      <c r="W39" s="728" t="s">
        <v>820</v>
      </c>
      <c r="X39" s="691"/>
      <c r="Y39" s="691"/>
    </row>
    <row r="40" spans="1:26" ht="20.25" thickBot="1" x14ac:dyDescent="0.3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0"/>
        <v>-1121.6799999999992</v>
      </c>
      <c r="G40" s="39">
        <f t="shared" si="11"/>
        <v>10541.68</v>
      </c>
      <c r="H40" s="226">
        <f t="shared" si="12"/>
        <v>-0.1064042922949662</v>
      </c>
      <c r="I40" s="39"/>
      <c r="J40" s="39"/>
      <c r="K40" s="39">
        <v>331</v>
      </c>
      <c r="O40" s="802" t="s">
        <v>78</v>
      </c>
      <c r="P40" s="802"/>
      <c r="T40" s="728" t="s">
        <v>781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0"/>
        <v>-1533.6600000000003</v>
      </c>
      <c r="G41" s="39">
        <f t="shared" si="11"/>
        <v>15177.66</v>
      </c>
      <c r="H41" s="226">
        <f t="shared" si="12"/>
        <v>-0.10104719699874687</v>
      </c>
      <c r="I41" s="39"/>
      <c r="J41" s="39"/>
      <c r="K41" s="39">
        <v>-81.41</v>
      </c>
      <c r="O41" s="81">
        <v>1.1000000000000001</v>
      </c>
      <c r="P41" s="81">
        <f>O41*$Q$4</f>
        <v>27.258000000000003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0"/>
        <v>-1461.6599999999999</v>
      </c>
      <c r="G42" s="39">
        <f t="shared" si="11"/>
        <v>15087.66</v>
      </c>
      <c r="H42" s="226">
        <f t="shared" si="12"/>
        <v>-9.6877845868743054E-2</v>
      </c>
      <c r="I42" s="39"/>
      <c r="J42" s="39"/>
      <c r="K42" s="39">
        <v>-9.41</v>
      </c>
      <c r="O42" s="81">
        <v>1.0900000000000001</v>
      </c>
      <c r="P42" s="81">
        <f t="shared" ref="P42:P61" si="13">O42*$Q$4</f>
        <v>27.010200000000005</v>
      </c>
      <c r="Q42" s="2"/>
      <c r="T42" s="735" t="s">
        <v>800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0"/>
        <v>-613.80000000000052</v>
      </c>
      <c r="G43" s="39">
        <f t="shared" si="11"/>
        <v>10257.800000000001</v>
      </c>
      <c r="H43" s="226">
        <f t="shared" si="12"/>
        <v>-5.9837392033379525E-2</v>
      </c>
      <c r="I43" s="39"/>
      <c r="J43" s="39"/>
      <c r="K43" s="39">
        <v>836</v>
      </c>
      <c r="O43" s="81">
        <v>1.08</v>
      </c>
      <c r="P43" s="81">
        <f t="shared" si="13"/>
        <v>26.762400000000003</v>
      </c>
      <c r="Q43" s="2"/>
      <c r="T43" s="691"/>
      <c r="U43" s="730"/>
      <c r="V43" s="691"/>
      <c r="W43" s="691"/>
      <c r="X43" s="691"/>
      <c r="Y43" s="691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0"/>
        <v>-384.00000000000034</v>
      </c>
      <c r="G44" s="39">
        <f t="shared" si="11"/>
        <v>14916</v>
      </c>
      <c r="H44" s="226">
        <f t="shared" si="12"/>
        <v>-2.5744167337087714E-2</v>
      </c>
      <c r="I44" s="39"/>
      <c r="J44" s="39"/>
      <c r="K44" s="39">
        <v>1066</v>
      </c>
      <c r="O44" s="81">
        <v>1.07</v>
      </c>
      <c r="P44" s="81">
        <f t="shared" si="13"/>
        <v>26.514600000000002</v>
      </c>
      <c r="Q44" s="2"/>
      <c r="T44" s="725" t="s">
        <v>763</v>
      </c>
      <c r="U44" s="730"/>
      <c r="V44" s="691"/>
      <c r="W44" s="691"/>
      <c r="X44" s="691"/>
      <c r="Y44" s="691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0"/>
        <v>-229.9199999999999</v>
      </c>
      <c r="G45" s="39">
        <f t="shared" si="11"/>
        <v>9917.92</v>
      </c>
      <c r="H45" s="226">
        <f t="shared" si="12"/>
        <v>-2.3182280155516471E-2</v>
      </c>
      <c r="I45" s="39">
        <v>23</v>
      </c>
      <c r="J45" s="39"/>
      <c r="K45" s="39">
        <v>1222</v>
      </c>
      <c r="O45" s="81">
        <v>1.06</v>
      </c>
      <c r="P45" s="81">
        <f t="shared" si="13"/>
        <v>26.266800000000003</v>
      </c>
      <c r="Q45" s="2"/>
      <c r="T45" s="728" t="s">
        <v>773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0"/>
        <v>-613.79999999999984</v>
      </c>
      <c r="G46" s="39">
        <f t="shared" si="11"/>
        <v>14773.800000000001</v>
      </c>
      <c r="H46" s="226">
        <f t="shared" si="12"/>
        <v>-4.1546521544897033E-2</v>
      </c>
      <c r="I46" s="39"/>
      <c r="J46" s="39"/>
      <c r="K46" s="39">
        <v>838</v>
      </c>
      <c r="O46" s="81">
        <v>1.05</v>
      </c>
      <c r="P46" s="81">
        <f t="shared" si="13"/>
        <v>26.019000000000002</v>
      </c>
      <c r="Q46" s="2"/>
      <c r="T46" s="728" t="s">
        <v>774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0"/>
        <v>-1069.9199999999992</v>
      </c>
      <c r="G47" s="39">
        <f t="shared" si="11"/>
        <v>19269.919999999998</v>
      </c>
      <c r="H47" s="226">
        <f t="shared" si="12"/>
        <v>-5.5522804453780765E-2</v>
      </c>
      <c r="I47" s="39"/>
      <c r="J47" s="39"/>
      <c r="K47" s="39"/>
      <c r="O47" s="81">
        <v>1.04</v>
      </c>
      <c r="P47" s="81">
        <f t="shared" si="13"/>
        <v>25.7712</v>
      </c>
      <c r="Q47" s="2"/>
      <c r="T47" s="728" t="s">
        <v>765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O48" s="81">
        <v>1.03</v>
      </c>
      <c r="P48" s="81">
        <f t="shared" si="13"/>
        <v>25.523400000000002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700</v>
      </c>
      <c r="B49" s="188">
        <v>42984</v>
      </c>
      <c r="C49" s="435">
        <v>800</v>
      </c>
      <c r="D49" s="436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O49" s="81">
        <v>1.02</v>
      </c>
      <c r="P49" s="81">
        <f t="shared" si="13"/>
        <v>25.275600000000001</v>
      </c>
      <c r="Q49" s="2"/>
      <c r="T49" s="728" t="s">
        <v>770</v>
      </c>
      <c r="U49" s="730">
        <v>20</v>
      </c>
      <c r="V49" s="728" t="s">
        <v>808</v>
      </c>
      <c r="W49" s="733">
        <v>20</v>
      </c>
      <c r="X49" s="691"/>
      <c r="Y49" s="691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O50" s="81">
        <v>1.01</v>
      </c>
      <c r="P50" s="81">
        <f t="shared" si="13"/>
        <v>25.027800000000003</v>
      </c>
      <c r="Q50" s="2"/>
      <c r="T50" s="728" t="s">
        <v>778</v>
      </c>
      <c r="U50" s="730"/>
      <c r="V50" s="691"/>
      <c r="W50" s="691"/>
      <c r="X50" s="691"/>
      <c r="Y50" s="691"/>
    </row>
    <row r="51" spans="1:25" x14ac:dyDescent="0.25">
      <c r="A51">
        <v>700</v>
      </c>
      <c r="B51" s="188">
        <v>42999</v>
      </c>
      <c r="C51" s="435">
        <v>800</v>
      </c>
      <c r="D51" s="436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O51" s="81">
        <v>1</v>
      </c>
      <c r="P51" s="81">
        <f t="shared" si="13"/>
        <v>24.78</v>
      </c>
      <c r="Q51" s="2"/>
      <c r="T51" s="728" t="s">
        <v>804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O52" s="81">
        <v>0.99</v>
      </c>
      <c r="P52" s="81">
        <f t="shared" si="13"/>
        <v>24.5322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O53" s="81">
        <v>0.98</v>
      </c>
      <c r="P53" s="81">
        <f t="shared" si="13"/>
        <v>24.284400000000002</v>
      </c>
      <c r="Q53" s="2"/>
      <c r="T53" s="728" t="s">
        <v>802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O54" s="81">
        <v>0.97</v>
      </c>
      <c r="P54" s="81">
        <f t="shared" si="13"/>
        <v>24.0366</v>
      </c>
      <c r="T54" s="728" t="s">
        <v>805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O55" s="81">
        <v>0.96</v>
      </c>
      <c r="P55" s="81">
        <f t="shared" si="13"/>
        <v>23.788800000000002</v>
      </c>
      <c r="T55" s="728" t="s">
        <v>806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O56" s="81">
        <v>0.95</v>
      </c>
      <c r="P56" s="81">
        <f t="shared" si="13"/>
        <v>23.541</v>
      </c>
      <c r="T56" s="739" t="s">
        <v>807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O57" s="81">
        <v>0.94</v>
      </c>
      <c r="P57" s="81">
        <f t="shared" si="13"/>
        <v>23.293199999999999</v>
      </c>
      <c r="T57" s="735" t="s">
        <v>800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3" t="s">
        <v>890</v>
      </c>
      <c r="J58" s="39"/>
      <c r="K58" s="39">
        <v>2972</v>
      </c>
      <c r="O58" s="81">
        <v>0.93</v>
      </c>
      <c r="P58" s="81">
        <f t="shared" si="13"/>
        <v>23.045400000000001</v>
      </c>
      <c r="T58" s="728"/>
      <c r="U58" s="732"/>
      <c r="V58" s="691"/>
      <c r="W58" s="691"/>
      <c r="X58" s="691"/>
      <c r="Y58" s="691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O59" s="81">
        <v>0.92</v>
      </c>
      <c r="P59" s="81">
        <f t="shared" si="13"/>
        <v>22.797600000000003</v>
      </c>
      <c r="T59" s="728"/>
      <c r="U59" s="732"/>
      <c r="V59" s="691"/>
      <c r="W59" s="691"/>
      <c r="X59" s="691"/>
      <c r="Y59" s="691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66" si="32">C60*(E60-D60)</f>
        <v>1747.6799999999998</v>
      </c>
      <c r="G60" s="39">
        <f t="shared" ref="G60:G66" si="33">D60*C60</f>
        <v>9140.32</v>
      </c>
      <c r="H60" s="226">
        <f t="shared" ref="H60:H66" si="34">(E60-D60)/D60</f>
        <v>0.1912055595427731</v>
      </c>
      <c r="I60" s="39"/>
      <c r="J60" s="39"/>
      <c r="K60" s="39">
        <v>3120</v>
      </c>
      <c r="O60" s="81">
        <v>0.91</v>
      </c>
      <c r="P60" s="81">
        <f t="shared" si="13"/>
        <v>22.549800000000001</v>
      </c>
      <c r="T60" s="729" t="s">
        <v>771</v>
      </c>
      <c r="U60" s="732"/>
      <c r="V60" s="691"/>
      <c r="W60" s="691"/>
      <c r="X60" s="691"/>
      <c r="Y60" s="691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O61" s="81">
        <v>0.9</v>
      </c>
      <c r="P61" s="81">
        <f t="shared" si="13"/>
        <v>22.302000000000003</v>
      </c>
      <c r="T61" s="728"/>
      <c r="U61" s="732"/>
      <c r="V61" s="691"/>
      <c r="W61" s="691"/>
      <c r="X61" s="691"/>
      <c r="Y61" s="691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9" t="s">
        <v>797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9" t="s">
        <v>795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9" t="s">
        <v>794</v>
      </c>
      <c r="U64" s="732">
        <v>0.28000000000000003</v>
      </c>
      <c r="V64" s="691">
        <v>0.65</v>
      </c>
      <c r="W64" s="691"/>
      <c r="X64" s="691"/>
      <c r="Y64" s="691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9" t="s">
        <v>796</v>
      </c>
      <c r="U65" s="732">
        <v>1.8</v>
      </c>
      <c r="V65" s="691">
        <v>1.98</v>
      </c>
      <c r="W65" s="691"/>
      <c r="X65" s="691"/>
      <c r="Y65" s="691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9"/>
      <c r="U66" s="732"/>
      <c r="V66" s="691"/>
      <c r="W66" s="691"/>
      <c r="X66" s="691"/>
      <c r="Y66" s="691"/>
    </row>
    <row r="67" spans="1:28" x14ac:dyDescent="0.25">
      <c r="B67" s="188"/>
      <c r="C67" s="10"/>
      <c r="D67" s="39"/>
      <c r="E67" s="39"/>
      <c r="F67" s="39"/>
      <c r="G67" s="39"/>
      <c r="H67" s="226"/>
      <c r="I67" s="39"/>
      <c r="J67" s="39"/>
      <c r="K67" s="39"/>
      <c r="T67" s="729"/>
      <c r="U67" s="732"/>
      <c r="V67" s="691"/>
      <c r="W67" s="691"/>
      <c r="X67" s="691"/>
      <c r="Y67" s="691"/>
    </row>
    <row r="68" spans="1:28" x14ac:dyDescent="0.25">
      <c r="B68" s="188"/>
      <c r="C68" s="10"/>
      <c r="D68" s="39"/>
      <c r="E68" s="39"/>
      <c r="F68" s="39"/>
      <c r="G68" s="39"/>
      <c r="H68" s="226"/>
      <c r="I68" s="39"/>
      <c r="J68" s="39"/>
      <c r="K68" s="39"/>
      <c r="T68" s="729" t="s">
        <v>798</v>
      </c>
      <c r="U68" s="732">
        <v>661</v>
      </c>
      <c r="V68" s="691">
        <v>726.4</v>
      </c>
      <c r="W68" s="691"/>
      <c r="X68" s="691"/>
      <c r="Y68" s="691"/>
    </row>
    <row r="69" spans="1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799</v>
      </c>
      <c r="U69" s="732">
        <v>3.8</v>
      </c>
      <c r="V69" s="691">
        <v>3.72</v>
      </c>
      <c r="W69" s="691"/>
      <c r="X69" s="691"/>
      <c r="Y69" s="691"/>
    </row>
    <row r="70" spans="1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1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1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1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786</v>
      </c>
      <c r="T76" s="22" t="s">
        <v>785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4" t="s">
        <v>113</v>
      </c>
      <c r="U80" s="694" t="s">
        <v>738</v>
      </c>
      <c r="V80" s="694" t="s">
        <v>739</v>
      </c>
      <c r="W80" s="692" t="s">
        <v>732</v>
      </c>
      <c r="X80" s="692" t="s">
        <v>733</v>
      </c>
      <c r="Y80" s="694" t="s">
        <v>735</v>
      </c>
      <c r="Z80" s="694" t="s">
        <v>736</v>
      </c>
      <c r="AA80" s="692" t="s">
        <v>734</v>
      </c>
      <c r="AB80" s="693" t="s">
        <v>737</v>
      </c>
    </row>
    <row r="81" spans="2:28" x14ac:dyDescent="0.25"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498" t="s">
        <v>113</v>
      </c>
      <c r="C84" s="498" t="s">
        <v>146</v>
      </c>
      <c r="D84" s="499" t="s">
        <v>145</v>
      </c>
      <c r="E84" s="500" t="s">
        <v>147</v>
      </c>
      <c r="F84" s="500" t="s">
        <v>65</v>
      </c>
      <c r="G84" s="502" t="s">
        <v>151</v>
      </c>
      <c r="H84" s="502" t="s">
        <v>88</v>
      </c>
      <c r="I84" s="502" t="s">
        <v>154</v>
      </c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42548</v>
      </c>
      <c r="C85" s="371">
        <v>100</v>
      </c>
      <c r="D85" s="372">
        <v>25</v>
      </c>
      <c r="E85" s="372">
        <v>24.69</v>
      </c>
      <c r="F85" s="372">
        <f t="shared" ref="F85:F90" si="35">C85*(E85-D85)</f>
        <v>-30.999999999999872</v>
      </c>
      <c r="G85" s="372">
        <f t="shared" ref="G85:G90" si="36">D85*C85</f>
        <v>2500</v>
      </c>
      <c r="H85" s="373">
        <f t="shared" ref="H85:H90" si="37">(E85-D85)/D85</f>
        <v>-1.2399999999999949E-2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42549</v>
      </c>
      <c r="C86" s="371">
        <v>100</v>
      </c>
      <c r="D86" s="372">
        <v>25</v>
      </c>
      <c r="E86" s="372">
        <v>25.26</v>
      </c>
      <c r="F86" s="372">
        <f t="shared" si="35"/>
        <v>26.000000000000156</v>
      </c>
      <c r="G86" s="372">
        <f t="shared" si="36"/>
        <v>2500</v>
      </c>
      <c r="H86" s="373">
        <f t="shared" si="37"/>
        <v>1.0400000000000062E-2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42552</v>
      </c>
      <c r="C87" s="371">
        <v>100</v>
      </c>
      <c r="D87" s="372">
        <v>25</v>
      </c>
      <c r="E87" s="372">
        <v>26.57</v>
      </c>
      <c r="F87" s="372">
        <f t="shared" si="35"/>
        <v>157.00000000000003</v>
      </c>
      <c r="G87" s="372">
        <f t="shared" si="36"/>
        <v>2500</v>
      </c>
      <c r="H87" s="373">
        <f t="shared" si="37"/>
        <v>6.2800000000000009E-2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42556</v>
      </c>
      <c r="C88" s="371">
        <v>100</v>
      </c>
      <c r="D88" s="372">
        <v>25</v>
      </c>
      <c r="E88" s="372">
        <v>25.47</v>
      </c>
      <c r="F88" s="372">
        <f t="shared" si="35"/>
        <v>46.999999999999886</v>
      </c>
      <c r="G88" s="372">
        <f t="shared" si="36"/>
        <v>2500</v>
      </c>
      <c r="H88" s="373">
        <f t="shared" si="37"/>
        <v>1.8799999999999956E-2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42562</v>
      </c>
      <c r="C89" s="371">
        <v>100</v>
      </c>
      <c r="D89" s="372">
        <v>25</v>
      </c>
      <c r="E89" s="372">
        <v>25.69</v>
      </c>
      <c r="F89" s="372">
        <f t="shared" si="35"/>
        <v>69.000000000000128</v>
      </c>
      <c r="G89" s="372">
        <f t="shared" si="36"/>
        <v>2500</v>
      </c>
      <c r="H89" s="373">
        <f t="shared" si="37"/>
        <v>2.7600000000000052E-2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42563</v>
      </c>
      <c r="C90" s="371">
        <v>100</v>
      </c>
      <c r="D90" s="372">
        <v>25</v>
      </c>
      <c r="E90" s="372">
        <v>26.48</v>
      </c>
      <c r="F90" s="372">
        <f t="shared" si="35"/>
        <v>148.00000000000006</v>
      </c>
      <c r="G90" s="372">
        <f t="shared" si="36"/>
        <v>2500</v>
      </c>
      <c r="H90" s="373">
        <f t="shared" si="37"/>
        <v>5.9200000000000016E-2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42569</v>
      </c>
      <c r="C91" s="371">
        <v>100</v>
      </c>
      <c r="D91" s="372">
        <v>25</v>
      </c>
      <c r="E91" s="372">
        <v>29.28</v>
      </c>
      <c r="F91" s="372">
        <f t="shared" ref="F91:F97" si="38">C91*(E91-D91)</f>
        <v>428.00000000000011</v>
      </c>
      <c r="G91" s="372">
        <f t="shared" ref="G91:G97" si="39">D91*C91</f>
        <v>2500</v>
      </c>
      <c r="H91" s="373">
        <f t="shared" ref="H91:H97" si="40">(E91-D91)/D91</f>
        <v>0.17120000000000005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42570</v>
      </c>
      <c r="C92" s="371">
        <v>100</v>
      </c>
      <c r="D92" s="372">
        <v>25</v>
      </c>
      <c r="E92" s="372">
        <v>28.68</v>
      </c>
      <c r="F92" s="372">
        <f t="shared" si="38"/>
        <v>368</v>
      </c>
      <c r="G92" s="372">
        <f t="shared" si="39"/>
        <v>2500</v>
      </c>
      <c r="H92" s="373">
        <f t="shared" si="40"/>
        <v>0.1472</v>
      </c>
      <c r="I92" s="372"/>
    </row>
    <row r="93" spans="2:28" x14ac:dyDescent="0.25">
      <c r="B93" s="370">
        <v>42571</v>
      </c>
      <c r="C93" s="371">
        <v>100</v>
      </c>
      <c r="D93" s="372">
        <v>25</v>
      </c>
      <c r="E93" s="372">
        <v>29.01</v>
      </c>
      <c r="F93" s="372">
        <f t="shared" si="38"/>
        <v>401.00000000000017</v>
      </c>
      <c r="G93" s="372">
        <f t="shared" si="39"/>
        <v>2500</v>
      </c>
      <c r="H93" s="373">
        <f t="shared" si="40"/>
        <v>0.16040000000000007</v>
      </c>
      <c r="I93" s="372"/>
    </row>
    <row r="94" spans="2:28" x14ac:dyDescent="0.25">
      <c r="B94" s="370">
        <v>42572</v>
      </c>
      <c r="C94" s="371">
        <v>100</v>
      </c>
      <c r="D94" s="372">
        <v>25</v>
      </c>
      <c r="E94" s="372">
        <v>28.89</v>
      </c>
      <c r="F94" s="372">
        <f t="shared" si="38"/>
        <v>389.00000000000006</v>
      </c>
      <c r="G94" s="372">
        <f t="shared" si="39"/>
        <v>2500</v>
      </c>
      <c r="H94" s="373">
        <f t="shared" si="40"/>
        <v>0.15560000000000002</v>
      </c>
      <c r="I94" s="372"/>
    </row>
    <row r="95" spans="2:28" x14ac:dyDescent="0.25">
      <c r="B95" s="370">
        <v>42576</v>
      </c>
      <c r="C95" s="371">
        <v>100</v>
      </c>
      <c r="D95" s="372">
        <v>25</v>
      </c>
      <c r="E95" s="372">
        <v>28.63</v>
      </c>
      <c r="F95" s="372">
        <f t="shared" si="38"/>
        <v>362.99999999999989</v>
      </c>
      <c r="G95" s="372">
        <f t="shared" si="39"/>
        <v>2500</v>
      </c>
      <c r="H95" s="373">
        <f t="shared" si="40"/>
        <v>0.14519999999999997</v>
      </c>
      <c r="I95" s="372"/>
    </row>
    <row r="96" spans="2:28" x14ac:dyDescent="0.25">
      <c r="B96" s="370">
        <v>42577</v>
      </c>
      <c r="C96" s="371">
        <v>100</v>
      </c>
      <c r="D96" s="372">
        <v>25</v>
      </c>
      <c r="E96" s="372">
        <v>29.34</v>
      </c>
      <c r="F96" s="372">
        <f t="shared" si="38"/>
        <v>434</v>
      </c>
      <c r="G96" s="372">
        <f t="shared" si="39"/>
        <v>2500</v>
      </c>
      <c r="H96" s="373">
        <f t="shared" si="40"/>
        <v>0.1736</v>
      </c>
      <c r="I96" s="372"/>
    </row>
    <row r="97" spans="2:9" x14ac:dyDescent="0.25">
      <c r="B97" s="370">
        <v>42580</v>
      </c>
      <c r="C97" s="371">
        <v>100</v>
      </c>
      <c r="D97" s="372">
        <v>25</v>
      </c>
      <c r="E97" s="372">
        <v>27</v>
      </c>
      <c r="F97" s="372">
        <f t="shared" si="38"/>
        <v>200</v>
      </c>
      <c r="G97" s="372">
        <f t="shared" si="39"/>
        <v>2500</v>
      </c>
      <c r="H97" s="373">
        <f t="shared" si="40"/>
        <v>0.08</v>
      </c>
      <c r="I97" s="372"/>
    </row>
    <row r="98" spans="2:9" x14ac:dyDescent="0.25">
      <c r="B98" s="370">
        <v>42584</v>
      </c>
      <c r="C98" s="371">
        <v>0</v>
      </c>
      <c r="D98" s="372"/>
      <c r="E98" s="372"/>
      <c r="F98" s="372">
        <v>287.94</v>
      </c>
      <c r="G98" s="372"/>
      <c r="H98" s="373"/>
      <c r="I98" s="372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1">C102*(E102-D102)</f>
        <v>-9.9999999999999645</v>
      </c>
      <c r="G102" s="255">
        <f t="shared" ref="G102:G107" si="42">D102*C102</f>
        <v>1287</v>
      </c>
      <c r="H102" s="269">
        <f t="shared" ref="H102:H107" si="43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1"/>
        <v>-45.999999999999908</v>
      </c>
      <c r="G103" s="255">
        <f t="shared" si="42"/>
        <v>1287</v>
      </c>
      <c r="H103" s="269">
        <f t="shared" si="43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1"/>
        <v>-82.000000000000028</v>
      </c>
      <c r="G104" s="255">
        <f t="shared" si="42"/>
        <v>2496</v>
      </c>
      <c r="H104" s="269">
        <f t="shared" si="43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1"/>
        <v>-99.000000000000028</v>
      </c>
      <c r="G105" s="255">
        <f t="shared" si="42"/>
        <v>3720</v>
      </c>
      <c r="H105" s="269">
        <f t="shared" si="43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1"/>
        <v>-121.50000000000034</v>
      </c>
      <c r="G106" s="255">
        <f t="shared" si="42"/>
        <v>3720</v>
      </c>
      <c r="H106" s="269">
        <f t="shared" si="43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1"/>
        <v>-50.999999999999979</v>
      </c>
      <c r="G107" s="255">
        <f t="shared" si="42"/>
        <v>3720</v>
      </c>
      <c r="H107" s="269">
        <f t="shared" si="43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4">C108*(E108-D108)</f>
        <v>13.499999999999979</v>
      </c>
      <c r="G108" s="255">
        <f t="shared" ref="G108:G119" si="45">D108*C108</f>
        <v>3720</v>
      </c>
      <c r="H108" s="269">
        <f t="shared" ref="H108:H119" si="46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4"/>
        <v>40.499999999999936</v>
      </c>
      <c r="G109" s="255">
        <f t="shared" si="45"/>
        <v>3720</v>
      </c>
      <c r="H109" s="269">
        <f t="shared" si="46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4"/>
        <v>7.5000000000001066</v>
      </c>
      <c r="G110" s="255">
        <f t="shared" si="45"/>
        <v>3720</v>
      </c>
      <c r="H110" s="269">
        <f t="shared" si="46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4"/>
        <v>-33.000000000000362</v>
      </c>
      <c r="G111" s="255">
        <f t="shared" si="45"/>
        <v>3720</v>
      </c>
      <c r="H111" s="269">
        <f t="shared" si="46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4"/>
        <v>-211.50000000000003</v>
      </c>
      <c r="G112" s="255">
        <f t="shared" si="45"/>
        <v>3720</v>
      </c>
      <c r="H112" s="269">
        <f t="shared" si="46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4"/>
        <v>-144.00000000000011</v>
      </c>
      <c r="G113" s="255">
        <f t="shared" si="45"/>
        <v>3720</v>
      </c>
      <c r="H113" s="269">
        <f t="shared" si="46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4"/>
        <v>-73.500000000000298</v>
      </c>
      <c r="G114" s="255">
        <f t="shared" si="45"/>
        <v>3720</v>
      </c>
      <c r="H114" s="269">
        <f t="shared" si="46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4"/>
        <v>-104.53499999999991</v>
      </c>
      <c r="G115" s="255">
        <f t="shared" si="45"/>
        <v>3694.0349999999999</v>
      </c>
      <c r="H115" s="269">
        <f t="shared" si="46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4"/>
        <v>-164.53499999999968</v>
      </c>
      <c r="G116" s="255">
        <f t="shared" si="45"/>
        <v>3694.0349999999999</v>
      </c>
      <c r="H116" s="269">
        <f t="shared" si="46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4"/>
        <v>8.2949999999998525</v>
      </c>
      <c r="G117" s="255">
        <f t="shared" si="45"/>
        <v>3639.7050000000004</v>
      </c>
      <c r="H117" s="269">
        <f t="shared" si="46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4"/>
        <v>69.794999999999874</v>
      </c>
      <c r="G118" s="255">
        <f t="shared" si="45"/>
        <v>3639.7050000000004</v>
      </c>
      <c r="H118" s="269">
        <f t="shared" si="46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4"/>
        <v>589.25999999999976</v>
      </c>
      <c r="G119" s="255">
        <f t="shared" si="45"/>
        <v>2250.7400000000002</v>
      </c>
      <c r="H119" s="269">
        <f t="shared" si="46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60" t="s">
        <v>1</v>
      </c>
      <c r="B128" s="460" t="s">
        <v>2</v>
      </c>
      <c r="C128" s="460" t="s">
        <v>4</v>
      </c>
      <c r="D128" s="461" t="s">
        <v>5</v>
      </c>
      <c r="E128" s="461" t="s">
        <v>94</v>
      </c>
      <c r="F128" s="461" t="s">
        <v>60</v>
      </c>
      <c r="G128" s="460" t="s">
        <v>3</v>
      </c>
      <c r="H128" s="460" t="s">
        <v>6</v>
      </c>
      <c r="I128" s="461" t="s">
        <v>7</v>
      </c>
      <c r="J128" s="461" t="s">
        <v>95</v>
      </c>
      <c r="K128" s="461" t="s">
        <v>61</v>
      </c>
      <c r="L128" s="460" t="s">
        <v>37</v>
      </c>
      <c r="M128" s="460" t="s">
        <v>38</v>
      </c>
    </row>
    <row r="129" spans="1:13" x14ac:dyDescent="0.25">
      <c r="A129" s="462" t="s">
        <v>227</v>
      </c>
      <c r="B129" s="463">
        <v>42548</v>
      </c>
      <c r="C129" s="464">
        <v>100</v>
      </c>
      <c r="D129" s="465">
        <v>25</v>
      </c>
      <c r="E129" s="465">
        <v>0</v>
      </c>
      <c r="F129" s="465">
        <f>D129*C129+E129</f>
        <v>2500</v>
      </c>
      <c r="G129" s="463">
        <v>42584</v>
      </c>
      <c r="H129" s="466">
        <v>100</v>
      </c>
      <c r="I129" s="465">
        <v>27.88</v>
      </c>
      <c r="J129" s="465">
        <v>0.06</v>
      </c>
      <c r="K129" s="465">
        <f>H129*I129-J129</f>
        <v>2787.94</v>
      </c>
      <c r="L129" s="463">
        <v>42719</v>
      </c>
      <c r="M129" s="464">
        <v>41.25</v>
      </c>
    </row>
    <row r="130" spans="1:13" x14ac:dyDescent="0.25">
      <c r="A130" s="467" t="s">
        <v>71</v>
      </c>
      <c r="B130" s="463">
        <v>42627</v>
      </c>
      <c r="C130" s="464">
        <v>50</v>
      </c>
      <c r="D130" s="465">
        <v>25.74</v>
      </c>
      <c r="E130" s="465">
        <v>0</v>
      </c>
      <c r="F130" s="465">
        <v>1287</v>
      </c>
      <c r="G130" s="463" t="s">
        <v>346</v>
      </c>
      <c r="H130" s="466">
        <v>50</v>
      </c>
      <c r="I130" s="465">
        <v>25</v>
      </c>
      <c r="J130" s="465">
        <v>0.03</v>
      </c>
      <c r="K130" s="465">
        <v>1249.97</v>
      </c>
      <c r="L130" s="464"/>
      <c r="M130" s="464"/>
    </row>
    <row r="131" spans="1:13" x14ac:dyDescent="0.25">
      <c r="A131" s="464"/>
      <c r="B131" s="463">
        <v>42639</v>
      </c>
      <c r="C131" s="464">
        <v>50</v>
      </c>
      <c r="D131" s="465">
        <v>24.48</v>
      </c>
      <c r="E131" s="465">
        <v>0</v>
      </c>
      <c r="F131" s="465">
        <v>1224</v>
      </c>
      <c r="G131" s="463" t="s">
        <v>346</v>
      </c>
      <c r="H131" s="466">
        <v>100</v>
      </c>
      <c r="I131" s="465">
        <v>24.88</v>
      </c>
      <c r="J131" s="465">
        <v>0.05</v>
      </c>
      <c r="K131" s="465">
        <v>2487.9499999999998</v>
      </c>
      <c r="L131" s="464"/>
      <c r="M131" s="464"/>
    </row>
    <row r="132" spans="1:13" x14ac:dyDescent="0.25">
      <c r="A132" s="464"/>
      <c r="B132" s="463">
        <v>42639</v>
      </c>
      <c r="C132" s="464">
        <v>50</v>
      </c>
      <c r="D132" s="465">
        <v>24.18</v>
      </c>
      <c r="E132" s="465">
        <v>0</v>
      </c>
      <c r="F132" s="465">
        <v>1209</v>
      </c>
      <c r="G132" s="463" t="s">
        <v>346</v>
      </c>
      <c r="H132" s="466">
        <v>50</v>
      </c>
      <c r="I132" s="465">
        <v>27.78</v>
      </c>
      <c r="J132" s="465">
        <v>0.03</v>
      </c>
      <c r="K132" s="465">
        <v>1388.97</v>
      </c>
      <c r="L132" s="464"/>
      <c r="M132" s="464"/>
    </row>
    <row r="133" spans="1:13" x14ac:dyDescent="0.25">
      <c r="A133" s="464"/>
      <c r="B133" s="463">
        <v>42670</v>
      </c>
      <c r="C133" s="464">
        <v>50</v>
      </c>
      <c r="D133" s="465">
        <v>24.48</v>
      </c>
      <c r="E133" s="465">
        <v>0</v>
      </c>
      <c r="F133" s="465">
        <v>1224</v>
      </c>
      <c r="G133" s="463" t="s">
        <v>346</v>
      </c>
      <c r="H133" s="466">
        <v>100</v>
      </c>
      <c r="I133" s="465">
        <v>29.78</v>
      </c>
      <c r="J133" s="465">
        <v>0.06</v>
      </c>
      <c r="K133" s="465">
        <v>2977.94</v>
      </c>
      <c r="L133" s="464"/>
      <c r="M133" s="464"/>
    </row>
    <row r="134" spans="1:13" x14ac:dyDescent="0.25">
      <c r="A134" s="464"/>
      <c r="B134" s="463" t="s">
        <v>346</v>
      </c>
      <c r="C134" s="464">
        <v>100</v>
      </c>
      <c r="D134" s="465">
        <v>24.34</v>
      </c>
      <c r="E134" s="465">
        <v>-0.37</v>
      </c>
      <c r="F134" s="465">
        <v>2433.63</v>
      </c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510">
        <v>42723</v>
      </c>
      <c r="C135" s="511">
        <v>100</v>
      </c>
      <c r="D135" s="513">
        <v>27.98</v>
      </c>
      <c r="E135" s="513">
        <v>0</v>
      </c>
      <c r="F135" s="513">
        <f>D135*C135+E135</f>
        <v>2798</v>
      </c>
      <c r="G135" s="510">
        <v>42724</v>
      </c>
      <c r="H135" s="511">
        <v>100</v>
      </c>
      <c r="I135" s="513">
        <v>27.94</v>
      </c>
      <c r="J135" s="513">
        <v>0.06</v>
      </c>
      <c r="K135" s="513">
        <f>I135*H135-J135</f>
        <v>2793.94</v>
      </c>
      <c r="L135" s="464"/>
      <c r="M135" s="464"/>
    </row>
    <row r="136" spans="1:13" x14ac:dyDescent="0.25">
      <c r="A136" s="464"/>
      <c r="B136" s="445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5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6"/>
      <c r="I140" s="465"/>
      <c r="J140" s="465"/>
      <c r="K140" s="465"/>
      <c r="L140" s="464"/>
      <c r="M140" s="464"/>
    </row>
    <row r="141" spans="1:13" x14ac:dyDescent="0.25">
      <c r="A141" s="464"/>
      <c r="B141" s="464"/>
      <c r="C141" s="464"/>
      <c r="D141" s="465"/>
      <c r="E141" s="465"/>
      <c r="F141" s="465"/>
      <c r="G141" s="464"/>
      <c r="H141" s="466"/>
      <c r="I141" s="465"/>
      <c r="J141" s="465"/>
      <c r="K141" s="465"/>
      <c r="L141" s="464"/>
      <c r="M141" s="464"/>
    </row>
    <row r="142" spans="1:13" x14ac:dyDescent="0.25">
      <c r="A142" s="464"/>
      <c r="B142" s="464"/>
      <c r="C142" s="464"/>
      <c r="D142" s="465"/>
      <c r="E142" s="465"/>
      <c r="F142" s="465"/>
      <c r="G142" s="464"/>
      <c r="H142" s="466"/>
      <c r="I142" s="465"/>
      <c r="J142" s="465"/>
      <c r="K142" s="465"/>
      <c r="L142" s="464"/>
      <c r="M142" s="464"/>
    </row>
    <row r="143" spans="1:13" x14ac:dyDescent="0.25">
      <c r="A143" s="464"/>
      <c r="B143" s="464"/>
      <c r="C143" s="464"/>
      <c r="D143" s="465"/>
      <c r="E143" s="465"/>
      <c r="F143" s="465"/>
      <c r="G143" s="464"/>
      <c r="H143" s="466"/>
      <c r="I143" s="465"/>
      <c r="J143" s="465"/>
      <c r="K143" s="465"/>
      <c r="L143" s="464"/>
      <c r="M143" s="464"/>
    </row>
    <row r="144" spans="1:13" x14ac:dyDescent="0.25">
      <c r="A144" s="464"/>
      <c r="B144" s="464"/>
      <c r="C144" s="464"/>
      <c r="D144" s="465"/>
      <c r="E144" s="465"/>
      <c r="F144" s="465"/>
      <c r="G144" s="464"/>
      <c r="H144" s="464"/>
      <c r="I144" s="465"/>
      <c r="J144" s="465"/>
      <c r="K144" s="465"/>
      <c r="L144" s="464"/>
      <c r="M144" s="464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9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8" t="s">
        <v>194</v>
      </c>
      <c r="B146" s="469"/>
      <c r="C146" s="470">
        <f>SumByColor($A$23,C129:C144)</f>
        <v>100</v>
      </c>
      <c r="D146" s="470"/>
      <c r="E146" s="470"/>
      <c r="F146" s="471">
        <f>SumByColor($A$23,F129:F144)</f>
        <v>2758</v>
      </c>
      <c r="G146" s="470"/>
      <c r="H146" s="470">
        <f>SumByColor($A$23,H129:H144)</f>
        <v>100</v>
      </c>
      <c r="I146" s="470"/>
      <c r="J146" s="470"/>
      <c r="K146" s="471">
        <f>SumByColor($A$23,K129:K144)</f>
        <v>3158</v>
      </c>
      <c r="L146" s="470"/>
      <c r="M146" s="471">
        <f>SumByColor($A$23,M129:M144)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57" priority="40">
      <formula>F98&gt;0</formula>
    </cfRule>
    <cfRule type="expression" dxfId="956" priority="41">
      <formula>F98&lt;0</formula>
    </cfRule>
  </conditionalFormatting>
  <conditionalFormatting sqref="Q7">
    <cfRule type="expression" dxfId="955" priority="28">
      <formula>Q7&gt;0</formula>
    </cfRule>
    <cfRule type="expression" dxfId="954" priority="29">
      <formula>Q7&lt;0</formula>
    </cfRule>
  </conditionalFormatting>
  <conditionalFormatting sqref="Q8">
    <cfRule type="expression" dxfId="953" priority="26">
      <formula>Q8&gt;0</formula>
    </cfRule>
    <cfRule type="expression" dxfId="952" priority="27">
      <formula>Q8&lt;0</formula>
    </cfRule>
  </conditionalFormatting>
  <conditionalFormatting sqref="F85:F97">
    <cfRule type="expression" dxfId="951" priority="24">
      <formula>F85&gt;0</formula>
    </cfRule>
    <cfRule type="expression" dxfId="950" priority="25">
      <formula>F85&lt;0</formula>
    </cfRule>
  </conditionalFormatting>
  <conditionalFormatting sqref="H85:H97">
    <cfRule type="expression" dxfId="949" priority="22">
      <formula>H85&gt;0</formula>
    </cfRule>
    <cfRule type="expression" dxfId="948" priority="23">
      <formula>H85&lt;0</formula>
    </cfRule>
  </conditionalFormatting>
  <conditionalFormatting sqref="H101:H104">
    <cfRule type="expression" dxfId="947" priority="18">
      <formula>H101&gt;0</formula>
    </cfRule>
    <cfRule type="expression" dxfId="946" priority="19">
      <formula>H101&lt;0</formula>
    </cfRule>
  </conditionalFormatting>
  <conditionalFormatting sqref="F101:F104">
    <cfRule type="expression" dxfId="945" priority="20">
      <formula>F101&gt;0</formula>
    </cfRule>
    <cfRule type="expression" dxfId="944" priority="21">
      <formula>F101&lt;0</formula>
    </cfRule>
  </conditionalFormatting>
  <conditionalFormatting sqref="M127">
    <cfRule type="expression" dxfId="943" priority="16">
      <formula>M127&gt;0</formula>
    </cfRule>
    <cfRule type="expression" dxfId="942" priority="17">
      <formula>M127&lt;0</formula>
    </cfRule>
  </conditionalFormatting>
  <conditionalFormatting sqref="F27:F28 F35:F80">
    <cfRule type="expression" dxfId="941" priority="14">
      <formula>F27&gt;0</formula>
    </cfRule>
    <cfRule type="expression" dxfId="940" priority="15">
      <formula>F27&lt;0</formula>
    </cfRule>
  </conditionalFormatting>
  <conditionalFormatting sqref="H27:H28 H35:H80">
    <cfRule type="expression" dxfId="939" priority="12">
      <formula>H27&gt;0</formula>
    </cfRule>
    <cfRule type="expression" dxfId="938" priority="13">
      <formula>H27&lt;0</formula>
    </cfRule>
  </conditionalFormatting>
  <conditionalFormatting sqref="Q10">
    <cfRule type="expression" dxfId="937" priority="10">
      <formula>Q10&gt;0</formula>
    </cfRule>
    <cfRule type="expression" dxfId="936" priority="11">
      <formula>Q10&lt;0</formula>
    </cfRule>
  </conditionalFormatting>
  <conditionalFormatting sqref="F29:F34">
    <cfRule type="expression" dxfId="935" priority="8">
      <formula>F29&gt;0</formula>
    </cfRule>
    <cfRule type="expression" dxfId="934" priority="9">
      <formula>F29&lt;0</formula>
    </cfRule>
  </conditionalFormatting>
  <conditionalFormatting sqref="H29:H34">
    <cfRule type="expression" dxfId="933" priority="6">
      <formula>H29&gt;0</formula>
    </cfRule>
    <cfRule type="expression" dxfId="932" priority="7">
      <formula>H29&lt;0</formula>
    </cfRule>
  </conditionalFormatting>
  <conditionalFormatting sqref="K32:K39">
    <cfRule type="expression" dxfId="931" priority="4">
      <formula>K32&gt;0</formula>
    </cfRule>
    <cfRule type="expression" dxfId="930" priority="5">
      <formula>K32&lt;0</formula>
    </cfRule>
  </conditionalFormatting>
  <conditionalFormatting sqref="K40:K80">
    <cfRule type="expression" dxfId="929" priority="2">
      <formula>K40&gt;0</formula>
    </cfRule>
    <cfRule type="expression" dxfId="928" priority="3">
      <formula>K40&lt;0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58.46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58.46</v>
      </c>
      <c r="R4" s="487">
        <v>-4.2099999999999999E-2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64.306000000000012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63.721400000000003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63.136800000000008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62.552200000000006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61.967600000000004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61.383000000000003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60.798400000000001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60.213799999999999</v>
      </c>
      <c r="Q48" s="2"/>
      <c r="T48" s="91" t="s">
        <v>324</v>
      </c>
      <c r="U48" s="86" t="s">
        <v>517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59.629200000000004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59.044600000000003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58.46</v>
      </c>
      <c r="Q51" s="2"/>
      <c r="T51" s="91" t="s">
        <v>104</v>
      </c>
      <c r="U51" s="86" t="s">
        <v>640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57.875399999999999</v>
      </c>
      <c r="Q52" s="2"/>
      <c r="T52" s="91" t="s">
        <v>105</v>
      </c>
      <c r="U52" s="86" t="s">
        <v>533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57.290799999999997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56.706200000000003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56.121600000000001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55.536999999999999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54.952399999999997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54.367800000000003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53.783200000000001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53.198600000000006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52.614000000000004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16" priority="9">
      <formula>F39&gt;0</formula>
    </cfRule>
    <cfRule type="expression" dxfId="915" priority="10">
      <formula>F39&lt;0</formula>
    </cfRule>
  </conditionalFormatting>
  <conditionalFormatting sqref="F25:F38">
    <cfRule type="expression" dxfId="914" priority="7">
      <formula>F25&gt;0</formula>
    </cfRule>
    <cfRule type="expression" dxfId="913" priority="8">
      <formula>F25&lt;0</formula>
    </cfRule>
  </conditionalFormatting>
  <conditionalFormatting sqref="H25:H38">
    <cfRule type="expression" dxfId="912" priority="5">
      <formula>H25&gt;0</formula>
    </cfRule>
    <cfRule type="expression" dxfId="911" priority="6">
      <formula>H25&lt;0</formula>
    </cfRule>
  </conditionalFormatting>
  <conditionalFormatting sqref="Q7">
    <cfRule type="expression" dxfId="910" priority="3">
      <formula>Q7&gt;0</formula>
    </cfRule>
    <cfRule type="expression" dxfId="909" priority="4">
      <formula>Q7&lt;0</formula>
    </cfRule>
  </conditionalFormatting>
  <conditionalFormatting sqref="Q8">
    <cfRule type="expression" dxfId="908" priority="1">
      <formula>Q8&gt;0</formula>
    </cfRule>
    <cfRule type="expression" dxfId="90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300.3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300.3</v>
      </c>
      <c r="R4" s="509">
        <v>-3.6400000000000002E-2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456.94000000000005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02" t="s">
        <v>78</v>
      </c>
      <c r="P14" s="802"/>
      <c r="W14" s="134"/>
    </row>
    <row r="15" spans="1:23" ht="15.75" thickTop="1" x14ac:dyDescent="0.25">
      <c r="H15" s="70"/>
      <c r="O15" s="81">
        <v>1.1000000000000001</v>
      </c>
      <c r="P15" s="81">
        <f>O15*$Q$4</f>
        <v>330.33000000000004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327.32700000000006</v>
      </c>
      <c r="W16" s="134"/>
    </row>
    <row r="17" spans="1:23" x14ac:dyDescent="0.25">
      <c r="O17" s="81">
        <v>1.08</v>
      </c>
      <c r="P17" s="81">
        <f t="shared" si="0"/>
        <v>324.32400000000001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321.32100000000003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318.31800000000004</v>
      </c>
      <c r="W19" s="134"/>
    </row>
    <row r="20" spans="1:23" x14ac:dyDescent="0.25">
      <c r="O20" s="81">
        <v>1.05</v>
      </c>
      <c r="P20" s="81">
        <f t="shared" si="0"/>
        <v>315.315</v>
      </c>
      <c r="W20" s="134"/>
    </row>
    <row r="21" spans="1:23" x14ac:dyDescent="0.25">
      <c r="O21" s="81">
        <v>1.04</v>
      </c>
      <c r="P21" s="81">
        <f t="shared" si="0"/>
        <v>312.31200000000001</v>
      </c>
      <c r="W21" s="134"/>
    </row>
    <row r="22" spans="1:23" x14ac:dyDescent="0.25">
      <c r="O22" s="81">
        <v>1.03</v>
      </c>
      <c r="P22" s="81">
        <f t="shared" si="0"/>
        <v>309.30900000000003</v>
      </c>
      <c r="W22" s="134"/>
    </row>
    <row r="23" spans="1:23" x14ac:dyDescent="0.25">
      <c r="O23" s="81">
        <v>1.02</v>
      </c>
      <c r="P23" s="81">
        <f t="shared" si="0"/>
        <v>306.30600000000004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1.01</v>
      </c>
      <c r="P24" s="81">
        <f t="shared" si="0"/>
        <v>303.303</v>
      </c>
      <c r="W24" s="134"/>
    </row>
    <row r="25" spans="1:23" x14ac:dyDescent="0.25">
      <c r="B25" s="188"/>
      <c r="C25" s="10"/>
      <c r="D25" s="39"/>
      <c r="E25" s="39"/>
      <c r="F25" s="39"/>
      <c r="G25" s="39"/>
      <c r="H25" s="226"/>
      <c r="I25" s="39"/>
      <c r="J25" s="39"/>
      <c r="K25" s="39"/>
      <c r="L25" s="158"/>
      <c r="O25" s="81">
        <v>1</v>
      </c>
      <c r="P25" s="81">
        <f t="shared" si="0"/>
        <v>300.3</v>
      </c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158"/>
      <c r="O26" s="81">
        <v>0.99</v>
      </c>
      <c r="P26" s="81">
        <f t="shared" si="0"/>
        <v>297.29700000000003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294.29399999999998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291.291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288.28800000000001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285.28500000000003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282.28199999999998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279.27900000000005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276.27600000000001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273.27300000000002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270.27000000000004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</v>
      </c>
      <c r="D84" s="532"/>
      <c r="E84" s="532"/>
      <c r="F84" s="532">
        <f>SUM(F68:F72)</f>
        <v>2889.78</v>
      </c>
      <c r="G84" s="531"/>
      <c r="H84" s="553">
        <f>SUM(H68:H71)</f>
        <v>10</v>
      </c>
      <c r="I84" s="532"/>
      <c r="J84" s="532"/>
      <c r="K84" s="532">
        <f>SUM(K68:K71)</f>
        <v>3346.7200000000003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06" priority="25">
      <formula>F29&gt;0</formula>
    </cfRule>
    <cfRule type="expression" dxfId="905" priority="26">
      <formula>F29&lt;0</formula>
    </cfRule>
  </conditionalFormatting>
  <conditionalFormatting sqref="Q7">
    <cfRule type="expression" dxfId="904" priority="23">
      <formula>Q7&gt;0</formula>
    </cfRule>
    <cfRule type="expression" dxfId="903" priority="24">
      <formula>Q7&lt;0</formula>
    </cfRule>
  </conditionalFormatting>
  <conditionalFormatting sqref="Q8">
    <cfRule type="expression" dxfId="902" priority="21">
      <formula>Q8&gt;0</formula>
    </cfRule>
    <cfRule type="expression" dxfId="901" priority="22">
      <formula>Q8&lt;0</formula>
    </cfRule>
  </conditionalFormatting>
  <conditionalFormatting sqref="F96:F110">
    <cfRule type="expression" dxfId="900" priority="15">
      <formula>F96&gt;0</formula>
    </cfRule>
    <cfRule type="expression" dxfId="899" priority="16">
      <formula>F96&lt;0</formula>
    </cfRule>
  </conditionalFormatting>
  <conditionalFormatting sqref="H96:H110">
    <cfRule type="expression" dxfId="898" priority="13">
      <formula>H96&gt;0</formula>
    </cfRule>
    <cfRule type="expression" dxfId="897" priority="14">
      <formula>H96&lt;0</formula>
    </cfRule>
  </conditionalFormatting>
  <conditionalFormatting sqref="Q10">
    <cfRule type="expression" dxfId="896" priority="11">
      <formula>Q10&gt;0</formula>
    </cfRule>
    <cfRule type="expression" dxfId="895" priority="12">
      <formula>Q10&lt;0</formula>
    </cfRule>
  </conditionalFormatting>
  <conditionalFormatting sqref="L29:L38">
    <cfRule type="expression" dxfId="894" priority="5">
      <formula>L29&gt;0</formula>
    </cfRule>
    <cfRule type="expression" dxfId="893" priority="6">
      <formula>L29&lt;0</formula>
    </cfRule>
  </conditionalFormatting>
  <conditionalFormatting sqref="F25:F29 H25:H29 J25:K29">
    <cfRule type="expression" dxfId="892" priority="3">
      <formula>F25&gt;0</formula>
    </cfRule>
    <cfRule type="expression" dxfId="891" priority="4">
      <formula>F25&lt;0</formula>
    </cfRule>
  </conditionalFormatting>
  <conditionalFormatting sqref="L25:L29">
    <cfRule type="expression" dxfId="890" priority="1">
      <formula>L25&gt;0</formula>
    </cfRule>
    <cfRule type="expression" dxfId="88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912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949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950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91.34</v>
      </c>
      <c r="R4" s="509">
        <v>-2.9600000000000001E-2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3653.6000000000004</v>
      </c>
      <c r="T5" s="1">
        <v>43121</v>
      </c>
      <c r="U5" t="s">
        <v>969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50.400000000000546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50.400000000000546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1.3987566607460188E-2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2.4961681629078167E-2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100.47400000000002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99.560600000000008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98.647200000000012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97.733800000000002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96.820400000000006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95.907000000000011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94.993600000000001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94.080200000000005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93.166800000000009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92.253399999999999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91.34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90.426600000000008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89.513199999999998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88.599800000000002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87.686400000000006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86.772999999999996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85.8596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84.946200000000005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84.032800000000009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83.119400000000013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82.206000000000003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912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8" priority="21">
      <formula>F47&gt;0</formula>
    </cfRule>
    <cfRule type="expression" dxfId="887" priority="22">
      <formula>F47&lt;0</formula>
    </cfRule>
  </conditionalFormatting>
  <conditionalFormatting sqref="Q7">
    <cfRule type="expression" dxfId="886" priority="19">
      <formula>Q7&gt;0</formula>
    </cfRule>
    <cfRule type="expression" dxfId="885" priority="20">
      <formula>Q7&lt;0</formula>
    </cfRule>
  </conditionalFormatting>
  <conditionalFormatting sqref="Q8">
    <cfRule type="expression" dxfId="884" priority="17">
      <formula>Q8&gt;0</formula>
    </cfRule>
    <cfRule type="expression" dxfId="883" priority="18">
      <formula>Q8&lt;0</formula>
    </cfRule>
  </conditionalFormatting>
  <conditionalFormatting sqref="F25:F46">
    <cfRule type="expression" dxfId="882" priority="15">
      <formula>F25&gt;0</formula>
    </cfRule>
    <cfRule type="expression" dxfId="881" priority="16">
      <formula>F25&lt;0</formula>
    </cfRule>
  </conditionalFormatting>
  <conditionalFormatting sqref="H25:H46">
    <cfRule type="expression" dxfId="880" priority="13">
      <formula>H25&gt;0</formula>
    </cfRule>
    <cfRule type="expression" dxfId="879" priority="14">
      <formula>H25&lt;0</formula>
    </cfRule>
  </conditionalFormatting>
  <conditionalFormatting sqref="F89:F110">
    <cfRule type="expression" dxfId="878" priority="11">
      <formula>F89&gt;0</formula>
    </cfRule>
    <cfRule type="expression" dxfId="877" priority="12">
      <formula>F89&lt;0</formula>
    </cfRule>
  </conditionalFormatting>
  <conditionalFormatting sqref="H89:H110">
    <cfRule type="expression" dxfId="876" priority="9">
      <formula>H89&gt;0</formula>
    </cfRule>
    <cfRule type="expression" dxfId="875" priority="10">
      <formula>H89&lt;0</formula>
    </cfRule>
  </conditionalFormatting>
  <conditionalFormatting sqref="Q10">
    <cfRule type="expression" dxfId="874" priority="7">
      <formula>Q10&gt;0</formula>
    </cfRule>
    <cfRule type="expression" dxfId="873" priority="8">
      <formula>Q10&lt;0</formula>
    </cfRule>
  </conditionalFormatting>
  <conditionalFormatting sqref="J25:J38">
    <cfRule type="expression" dxfId="872" priority="5">
      <formula>J25&gt;0</formula>
    </cfRule>
    <cfRule type="expression" dxfId="871" priority="6">
      <formula>J25&lt;0</formula>
    </cfRule>
  </conditionalFormatting>
  <conditionalFormatting sqref="K25:K38">
    <cfRule type="expression" dxfId="870" priority="3">
      <formula>K25&gt;0</formula>
    </cfRule>
    <cfRule type="expression" dxfId="869" priority="4">
      <formula>K25&lt;0</formula>
    </cfRule>
  </conditionalFormatting>
  <conditionalFormatting sqref="L25:L38">
    <cfRule type="expression" dxfId="868" priority="1">
      <formula>L25&gt;0</formula>
    </cfRule>
    <cfRule type="expression" dxfId="86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788</v>
      </c>
      <c r="B2" s="445">
        <v>42996</v>
      </c>
      <c r="C2" s="4">
        <v>50</v>
      </c>
      <c r="D2" s="3">
        <v>80.67</v>
      </c>
      <c r="E2" s="3">
        <v>0</v>
      </c>
      <c r="F2" s="3">
        <f t="shared" ref="F2:F7" si="0"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874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74.383399999999995</v>
      </c>
      <c r="T3" s="1">
        <v>43096</v>
      </c>
      <c r="U3" t="s">
        <v>873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71.81</v>
      </c>
      <c r="R4" s="509">
        <v>-3.4299999999999997E-2</v>
      </c>
      <c r="T4" s="1"/>
      <c r="U4" t="s">
        <v>877</v>
      </c>
      <c r="W4" s="134"/>
    </row>
    <row r="5" spans="1:23" x14ac:dyDescent="0.25">
      <c r="B5" s="445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5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7181</v>
      </c>
      <c r="U5" t="s">
        <v>875</v>
      </c>
      <c r="W5" s="134"/>
    </row>
    <row r="6" spans="1:23" x14ac:dyDescent="0.25">
      <c r="B6" s="48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7438.3399999999992</v>
      </c>
      <c r="U6" t="s">
        <v>876</v>
      </c>
      <c r="W6" s="134"/>
    </row>
    <row r="7" spans="1:23" x14ac:dyDescent="0.25">
      <c r="B7" s="486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-257.34000000000015</v>
      </c>
      <c r="R7" s="29">
        <v>43150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-257.34000000000015</v>
      </c>
      <c r="T8" s="1">
        <v>43114</v>
      </c>
      <c r="U8" t="s">
        <v>930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-3.4596428773086489E-2</v>
      </c>
      <c r="U9" t="s">
        <v>931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933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02" t="s">
        <v>78</v>
      </c>
      <c r="P16" s="802"/>
      <c r="W16" s="134"/>
    </row>
    <row r="17" spans="1:23" ht="15.75" thickTop="1" x14ac:dyDescent="0.25">
      <c r="O17" s="81">
        <v>1.1000000000000001</v>
      </c>
      <c r="P17" s="81">
        <f>O17*$Q$4</f>
        <v>78.991000000000014</v>
      </c>
      <c r="Q17" s="2"/>
      <c r="W17" s="134"/>
    </row>
    <row r="18" spans="1:23" x14ac:dyDescent="0.25">
      <c r="A18" s="31" t="s">
        <v>81</v>
      </c>
      <c r="B18" s="14"/>
      <c r="C18" s="14">
        <f>SUM(C2:C7)</f>
        <v>300</v>
      </c>
      <c r="D18" s="18"/>
      <c r="E18" s="18"/>
      <c r="F18" s="18">
        <f>SUM(F2:F7)</f>
        <v>22445.5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78.272900000000007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77.554800000000014</v>
      </c>
      <c r="Q19" s="2"/>
      <c r="W19" s="134"/>
    </row>
    <row r="20" spans="1:23" x14ac:dyDescent="0.25">
      <c r="O20" s="81">
        <v>1.07</v>
      </c>
      <c r="P20" s="81">
        <f t="shared" si="1"/>
        <v>76.836700000000008</v>
      </c>
      <c r="Q20" s="2"/>
      <c r="W20" s="134"/>
    </row>
    <row r="21" spans="1:23" x14ac:dyDescent="0.25">
      <c r="O21" s="81">
        <v>1.06</v>
      </c>
      <c r="P21" s="81">
        <f t="shared" si="1"/>
        <v>76.118600000000001</v>
      </c>
      <c r="Q21" s="2"/>
      <c r="W21" s="134"/>
    </row>
    <row r="22" spans="1:23" x14ac:dyDescent="0.25">
      <c r="O22" s="81">
        <v>1.05</v>
      </c>
      <c r="P22" s="81">
        <f t="shared" si="1"/>
        <v>75.400500000000008</v>
      </c>
      <c r="Q22" s="2"/>
      <c r="W22" s="134"/>
    </row>
    <row r="23" spans="1:23" x14ac:dyDescent="0.25">
      <c r="O23" s="81">
        <v>1.04</v>
      </c>
      <c r="P23" s="81">
        <f t="shared" si="1"/>
        <v>74.682400000000001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O24" s="81">
        <v>1.03</v>
      </c>
      <c r="P24" s="81">
        <f t="shared" si="1"/>
        <v>73.964300000000009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73.246200000000002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72.528100000000009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71.81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71.091899999999995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70.373800000000003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69.655699999999996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68.937600000000003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68.219499999999996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39" si="20">C33*(E33-D33)</f>
        <v>-285.15999999999906</v>
      </c>
      <c r="G33" s="39">
        <f t="shared" ref="G33:G39" si="21">D33*C33</f>
        <v>7564.16</v>
      </c>
      <c r="H33" s="226">
        <f t="shared" ref="H33:H39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67.501400000000004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932</v>
      </c>
      <c r="L34" s="158"/>
      <c r="O34" s="81">
        <v>0.93</v>
      </c>
      <c r="P34" s="81">
        <f t="shared" si="1"/>
        <v>66.783300000000011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959</v>
      </c>
      <c r="L35" s="158"/>
      <c r="O35" s="81">
        <v>0.92</v>
      </c>
      <c r="P35" s="81">
        <f t="shared" si="1"/>
        <v>66.065200000000004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65.347099999999998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64.629000000000005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984</v>
      </c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788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66" priority="21">
      <formula>F25&gt;0</formula>
    </cfRule>
    <cfRule type="expression" dxfId="865" priority="22">
      <formula>F25&lt;0</formula>
    </cfRule>
  </conditionalFormatting>
  <conditionalFormatting sqref="Q7">
    <cfRule type="expression" dxfId="864" priority="19">
      <formula>Q7&gt;0</formula>
    </cfRule>
    <cfRule type="expression" dxfId="863" priority="20">
      <formula>Q7&lt;0</formula>
    </cfRule>
  </conditionalFormatting>
  <conditionalFormatting sqref="Q8">
    <cfRule type="expression" dxfId="862" priority="17">
      <formula>Q8&gt;0</formula>
    </cfRule>
    <cfRule type="expression" dxfId="861" priority="18">
      <formula>Q8&lt;0</formula>
    </cfRule>
  </conditionalFormatting>
  <conditionalFormatting sqref="F25:F46">
    <cfRule type="expression" dxfId="860" priority="15">
      <formula>F25&gt;0</formula>
    </cfRule>
    <cfRule type="expression" dxfId="859" priority="16">
      <formula>F25&lt;0</formula>
    </cfRule>
  </conditionalFormatting>
  <conditionalFormatting sqref="H25:H46">
    <cfRule type="expression" dxfId="858" priority="13">
      <formula>H25&gt;0</formula>
    </cfRule>
    <cfRule type="expression" dxfId="857" priority="14">
      <formula>H25&lt;0</formula>
    </cfRule>
  </conditionalFormatting>
  <conditionalFormatting sqref="F89:F110">
    <cfRule type="expression" dxfId="856" priority="11">
      <formula>F89&gt;0</formula>
    </cfRule>
    <cfRule type="expression" dxfId="855" priority="12">
      <formula>F89&lt;0</formula>
    </cfRule>
  </conditionalFormatting>
  <conditionalFormatting sqref="H89:H110">
    <cfRule type="expression" dxfId="854" priority="9">
      <formula>H89&gt;0</formula>
    </cfRule>
    <cfRule type="expression" dxfId="853" priority="10">
      <formula>H89&lt;0</formula>
    </cfRule>
  </conditionalFormatting>
  <conditionalFormatting sqref="Q10">
    <cfRule type="expression" dxfId="852" priority="7">
      <formula>Q10&gt;0</formula>
    </cfRule>
    <cfRule type="expression" dxfId="851" priority="8">
      <formula>Q10&lt;0</formula>
    </cfRule>
  </conditionalFormatting>
  <conditionalFormatting sqref="J36:J38">
    <cfRule type="expression" dxfId="850" priority="5">
      <formula>J36&gt;0</formula>
    </cfRule>
    <cfRule type="expression" dxfId="849" priority="6">
      <formula>J36&lt;0</formula>
    </cfRule>
  </conditionalFormatting>
  <conditionalFormatting sqref="K36:K38">
    <cfRule type="expression" dxfId="848" priority="3">
      <formula>K36&gt;0</formula>
    </cfRule>
    <cfRule type="expression" dxfId="847" priority="4">
      <formula>K36&lt;0</formula>
    </cfRule>
  </conditionalFormatting>
  <conditionalFormatting sqref="L25:L38">
    <cfRule type="expression" dxfId="846" priority="1">
      <formula>L25&gt;0</formula>
    </cfRule>
    <cfRule type="expression" dxfId="8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948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33.69</v>
      </c>
      <c r="R4" s="509">
        <v>-4.3400000000000001E-2</v>
      </c>
      <c r="T4" s="1">
        <v>43121</v>
      </c>
      <c r="U4" t="s">
        <v>968</v>
      </c>
      <c r="W4" s="134"/>
    </row>
    <row r="5" spans="1:23" x14ac:dyDescent="0.25">
      <c r="B5" s="486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10107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-682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-682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-6.3212531281861162E-2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3.0869694271297123E-2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516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0" si="10">C28*(E28-D28)</f>
        <v>176.9999999999996</v>
      </c>
      <c r="G28" s="39">
        <f t="shared" ref="G28:G30" si="11">D28*C28</f>
        <v>3599</v>
      </c>
      <c r="H28" s="226">
        <f t="shared" ref="H28:H30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2" t="s">
        <v>78</v>
      </c>
      <c r="P40" s="802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37.058999999999997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36.722099999999998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36.385199999999998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36.048299999999998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35.711399999999998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35.374499999999998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35.037599999999998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34.700699999999998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34.363799999999998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34.026899999999998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33.69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33.353099999999998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33.016199999999998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32.679299999999998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32.342399999999998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32.005499999999998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31.668599999999994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31.331699999999998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30.994799999999998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30.657899999999998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30.320999999999998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4" priority="21">
      <formula>F47&gt;0</formula>
    </cfRule>
    <cfRule type="expression" dxfId="843" priority="22">
      <formula>F47&lt;0</formula>
    </cfRule>
  </conditionalFormatting>
  <conditionalFormatting sqref="Q7">
    <cfRule type="expression" dxfId="842" priority="19">
      <formula>Q7&gt;0</formula>
    </cfRule>
    <cfRule type="expression" dxfId="841" priority="20">
      <formula>Q7&lt;0</formula>
    </cfRule>
  </conditionalFormatting>
  <conditionalFormatting sqref="Q8">
    <cfRule type="expression" dxfId="840" priority="17">
      <formula>Q8&gt;0</formula>
    </cfRule>
    <cfRule type="expression" dxfId="839" priority="18">
      <formula>Q8&lt;0</formula>
    </cfRule>
  </conditionalFormatting>
  <conditionalFormatting sqref="F25:F46">
    <cfRule type="expression" dxfId="838" priority="15">
      <formula>F25&gt;0</formula>
    </cfRule>
    <cfRule type="expression" dxfId="837" priority="16">
      <formula>F25&lt;0</formula>
    </cfRule>
  </conditionalFormatting>
  <conditionalFormatting sqref="H25:H46">
    <cfRule type="expression" dxfId="836" priority="13">
      <formula>H25&gt;0</formula>
    </cfRule>
    <cfRule type="expression" dxfId="835" priority="14">
      <formula>H25&lt;0</formula>
    </cfRule>
  </conditionalFormatting>
  <conditionalFormatting sqref="F89:F110">
    <cfRule type="expression" dxfId="834" priority="11">
      <formula>F89&gt;0</formula>
    </cfRule>
    <cfRule type="expression" dxfId="833" priority="12">
      <formula>F89&lt;0</formula>
    </cfRule>
  </conditionalFormatting>
  <conditionalFormatting sqref="H89:H110">
    <cfRule type="expression" dxfId="832" priority="9">
      <formula>H89&gt;0</formula>
    </cfRule>
    <cfRule type="expression" dxfId="831" priority="10">
      <formula>H89&lt;0</formula>
    </cfRule>
  </conditionalFormatting>
  <conditionalFormatting sqref="Q10">
    <cfRule type="expression" dxfId="830" priority="7">
      <formula>Q10&gt;0</formula>
    </cfRule>
    <cfRule type="expression" dxfId="829" priority="8">
      <formula>Q10&lt;0</formula>
    </cfRule>
  </conditionalFormatting>
  <conditionalFormatting sqref="J25:J38">
    <cfRule type="expression" dxfId="828" priority="5">
      <formula>J25&gt;0</formula>
    </cfRule>
    <cfRule type="expression" dxfId="827" priority="6">
      <formula>J25&lt;0</formula>
    </cfRule>
  </conditionalFormatting>
  <conditionalFormatting sqref="K25:K38">
    <cfRule type="expression" dxfId="826" priority="3">
      <formula>K25&gt;0</formula>
    </cfRule>
    <cfRule type="expression" dxfId="825" priority="4">
      <formula>K25&lt;0</formula>
    </cfRule>
  </conditionalFormatting>
  <conditionalFormatting sqref="L25:L38">
    <cfRule type="expression" dxfId="824" priority="1">
      <formula>L25&gt;0</formula>
    </cfRule>
    <cfRule type="expression" dxfId="8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39.4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39.4</v>
      </c>
      <c r="R4" s="487">
        <v>-3.4799999999999998E-2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538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80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806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43.34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42.946000000000005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42.552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42.158000000000001</v>
      </c>
      <c r="Q28" s="2"/>
    </row>
    <row r="29" spans="1:32" x14ac:dyDescent="0.25">
      <c r="A29" s="10" t="s">
        <v>760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516</v>
      </c>
      <c r="K29" s="224" t="s">
        <v>480</v>
      </c>
      <c r="L29" s="224" t="s">
        <v>718</v>
      </c>
      <c r="M29" s="4"/>
      <c r="N29" s="4"/>
      <c r="O29" s="81">
        <v>1.06</v>
      </c>
      <c r="P29" s="81">
        <f t="shared" si="0"/>
        <v>41.764000000000003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41.37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40.975999999999999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40.582000000000001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40.188000000000002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39.793999999999997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39.4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39.006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38.611999999999995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38.217999999999996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37.823999999999998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37.43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37.035999999999994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36.642000000000003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36.247999999999998</v>
      </c>
    </row>
    <row r="44" spans="1:32" x14ac:dyDescent="0.25">
      <c r="N44" s="4"/>
      <c r="O44" s="81">
        <v>0.91</v>
      </c>
      <c r="P44" s="81">
        <f t="shared" si="0"/>
        <v>35.853999999999999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35.46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516</v>
      </c>
      <c r="K200" s="224" t="s">
        <v>480</v>
      </c>
      <c r="L200" s="224" t="s">
        <v>718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22" priority="137">
      <formula>F30&gt;0</formula>
    </cfRule>
    <cfRule type="expression" dxfId="821" priority="138">
      <formula>F30&lt;0</formula>
    </cfRule>
  </conditionalFormatting>
  <conditionalFormatting sqref="H47:H58">
    <cfRule type="expression" dxfId="820" priority="129">
      <formula>H47&gt;0</formula>
    </cfRule>
    <cfRule type="expression" dxfId="819" priority="130">
      <formula>H47&lt;0</formula>
    </cfRule>
  </conditionalFormatting>
  <conditionalFormatting sqref="H59">
    <cfRule type="expression" dxfId="818" priority="119">
      <formula>H59&gt;0</formula>
    </cfRule>
    <cfRule type="expression" dxfId="817" priority="120">
      <formula>H59&lt;0</formula>
    </cfRule>
  </conditionalFormatting>
  <conditionalFormatting sqref="H60">
    <cfRule type="expression" dxfId="816" priority="115">
      <formula>H60&gt;0</formula>
    </cfRule>
    <cfRule type="expression" dxfId="815" priority="116">
      <formula>H60&lt;0</formula>
    </cfRule>
  </conditionalFormatting>
  <conditionalFormatting sqref="H61:H66">
    <cfRule type="expression" dxfId="814" priority="111">
      <formula>H61&gt;0</formula>
    </cfRule>
    <cfRule type="expression" dxfId="813" priority="112">
      <formula>H61&lt;0</formula>
    </cfRule>
  </conditionalFormatting>
  <conditionalFormatting sqref="Q8">
    <cfRule type="expression" dxfId="812" priority="95">
      <formula>Q8&gt;0</formula>
    </cfRule>
    <cfRule type="expression" dxfId="811" priority="96">
      <formula>Q8&lt;0</formula>
    </cfRule>
  </conditionalFormatting>
  <conditionalFormatting sqref="Q7">
    <cfRule type="expression" dxfId="810" priority="97">
      <formula>Q7&gt;0</formula>
    </cfRule>
    <cfRule type="expression" dxfId="809" priority="98">
      <formula>Q7&lt;0</formula>
    </cfRule>
  </conditionalFormatting>
  <conditionalFormatting sqref="F178 H178">
    <cfRule type="expression" dxfId="808" priority="93">
      <formula>F178&gt;0</formula>
    </cfRule>
    <cfRule type="expression" dxfId="807" priority="94">
      <formula>F178&lt;0</formula>
    </cfRule>
  </conditionalFormatting>
  <conditionalFormatting sqref="Q10">
    <cfRule type="expression" dxfId="806" priority="87">
      <formula>Q10&gt;0</formula>
    </cfRule>
    <cfRule type="expression" dxfId="805" priority="88">
      <formula>Q10&lt;0</formula>
    </cfRule>
  </conditionalFormatting>
  <conditionalFormatting sqref="Q9">
    <cfRule type="expression" dxfId="804" priority="81">
      <formula>Q9&gt;0</formula>
    </cfRule>
    <cfRule type="expression" dxfId="803" priority="82">
      <formula>Q9&lt;0</formula>
    </cfRule>
  </conditionalFormatting>
  <conditionalFormatting sqref="F201:F248">
    <cfRule type="expression" dxfId="802" priority="41">
      <formula>F201&gt;0</formula>
    </cfRule>
    <cfRule type="expression" dxfId="801" priority="42">
      <formula>F201&lt;0</formula>
    </cfRule>
  </conditionalFormatting>
  <conditionalFormatting sqref="H201:H248">
    <cfRule type="expression" dxfId="800" priority="39">
      <formula>H201&gt;0</formula>
    </cfRule>
    <cfRule type="expression" dxfId="799" priority="40">
      <formula>H201&lt;0</formula>
    </cfRule>
  </conditionalFormatting>
  <conditionalFormatting sqref="J208">
    <cfRule type="expression" dxfId="798" priority="37">
      <formula>J208&gt;0</formula>
    </cfRule>
    <cfRule type="expression" dxfId="797" priority="38">
      <formula>J208&lt;0</formula>
    </cfRule>
  </conditionalFormatting>
  <conditionalFormatting sqref="J214:J215">
    <cfRule type="expression" dxfId="796" priority="35">
      <formula>J214&gt;0</formula>
    </cfRule>
    <cfRule type="expression" dxfId="795" priority="36">
      <formula>J214&lt;0</formula>
    </cfRule>
  </conditionalFormatting>
  <conditionalFormatting sqref="J216">
    <cfRule type="expression" dxfId="794" priority="33">
      <formula>J216&gt;0</formula>
    </cfRule>
    <cfRule type="expression" dxfId="793" priority="34">
      <formula>J216&lt;0</formula>
    </cfRule>
  </conditionalFormatting>
  <conditionalFormatting sqref="J217:J219 J221:J224">
    <cfRule type="expression" dxfId="792" priority="31">
      <formula>J217&gt;0</formula>
    </cfRule>
    <cfRule type="expression" dxfId="791" priority="32">
      <formula>J217&lt;0</formula>
    </cfRule>
  </conditionalFormatting>
  <conditionalFormatting sqref="K208">
    <cfRule type="expression" dxfId="790" priority="29">
      <formula>K208&gt;0</formula>
    </cfRule>
    <cfRule type="expression" dxfId="789" priority="30">
      <formula>K208&lt;0</formula>
    </cfRule>
  </conditionalFormatting>
  <conditionalFormatting sqref="K214:K215">
    <cfRule type="expression" dxfId="788" priority="27">
      <formula>K214&gt;0</formula>
    </cfRule>
    <cfRule type="expression" dxfId="787" priority="28">
      <formula>K214&lt;0</formula>
    </cfRule>
  </conditionalFormatting>
  <conditionalFormatting sqref="K216">
    <cfRule type="expression" dxfId="786" priority="25">
      <formula>K216&gt;0</formula>
    </cfRule>
    <cfRule type="expression" dxfId="785" priority="26">
      <formula>K216&lt;0</formula>
    </cfRule>
  </conditionalFormatting>
  <conditionalFormatting sqref="K217:K224">
    <cfRule type="expression" dxfId="784" priority="23">
      <formula>K217&gt;0</formula>
    </cfRule>
    <cfRule type="expression" dxfId="783" priority="24">
      <formula>K217&lt;0</formula>
    </cfRule>
  </conditionalFormatting>
  <conditionalFormatting sqref="L208">
    <cfRule type="expression" dxfId="782" priority="21">
      <formula>L208&gt;0</formula>
    </cfRule>
    <cfRule type="expression" dxfId="781" priority="22">
      <formula>L208&lt;0</formula>
    </cfRule>
  </conditionalFormatting>
  <conditionalFormatting sqref="L214:L215">
    <cfRule type="expression" dxfId="780" priority="19">
      <formula>L214&gt;0</formula>
    </cfRule>
    <cfRule type="expression" dxfId="779" priority="20">
      <formula>L214&lt;0</formula>
    </cfRule>
  </conditionalFormatting>
  <conditionalFormatting sqref="L216">
    <cfRule type="expression" dxfId="778" priority="17">
      <formula>L216&gt;0</formula>
    </cfRule>
    <cfRule type="expression" dxfId="777" priority="18">
      <formula>L216&lt;0</formula>
    </cfRule>
  </conditionalFormatting>
  <conditionalFormatting sqref="L217:L224">
    <cfRule type="expression" dxfId="776" priority="15">
      <formula>L217&gt;0</formula>
    </cfRule>
    <cfRule type="expression" dxfId="775" priority="16">
      <formula>L217&lt;0</formula>
    </cfRule>
  </conditionalFormatting>
  <conditionalFormatting sqref="K225">
    <cfRule type="expression" dxfId="774" priority="13">
      <formula>K225&gt;0</formula>
    </cfRule>
    <cfRule type="expression" dxfId="773" priority="14">
      <formula>K225&lt;0</formula>
    </cfRule>
  </conditionalFormatting>
  <conditionalFormatting sqref="L225:L232">
    <cfRule type="expression" dxfId="772" priority="11">
      <formula>L225&gt;0</formula>
    </cfRule>
    <cfRule type="expression" dxfId="771" priority="12">
      <formula>L225&lt;0</formula>
    </cfRule>
  </conditionalFormatting>
  <conditionalFormatting sqref="K226">
    <cfRule type="expression" dxfId="770" priority="9">
      <formula>K226&gt;0</formula>
    </cfRule>
    <cfRule type="expression" dxfId="769" priority="10">
      <formula>K226&lt;0</formula>
    </cfRule>
  </conditionalFormatting>
  <conditionalFormatting sqref="K227">
    <cfRule type="expression" dxfId="768" priority="7">
      <formula>K227&gt;0</formula>
    </cfRule>
    <cfRule type="expression" dxfId="767" priority="8">
      <formula>K227&lt;0</formula>
    </cfRule>
  </conditionalFormatting>
  <conditionalFormatting sqref="K228:K248">
    <cfRule type="expression" dxfId="766" priority="5">
      <formula>K228&gt;0</formula>
    </cfRule>
    <cfRule type="expression" dxfId="765" priority="6">
      <formula>K228&lt;0</formula>
    </cfRule>
  </conditionalFormatting>
  <conditionalFormatting sqref="L233:L237">
    <cfRule type="expression" dxfId="764" priority="3">
      <formula>L233&gt;0</formula>
    </cfRule>
    <cfRule type="expression" dxfId="763" priority="4">
      <formula>L233&lt;0</formula>
    </cfRule>
  </conditionalFormatting>
  <conditionalFormatting sqref="L238:L243">
    <cfRule type="expression" dxfId="762" priority="1">
      <formula>L238&gt;0</formula>
    </cfRule>
    <cfRule type="expression" dxfId="76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59.44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59.44</v>
      </c>
      <c r="R4" s="504">
        <v>-4.3900000000000002E-2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02" t="s">
        <v>78</v>
      </c>
      <c r="P40" s="80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65.384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64.789600000000007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64.1952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63.6008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63.006399999999999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62.411999999999999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61.817599999999999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61.223199999999999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60.628799999999998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60.034399999999998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59.44</v>
      </c>
      <c r="Q51" s="2"/>
      <c r="T51" s="85" t="s">
        <v>104</v>
      </c>
      <c r="U51" s="86" t="s">
        <v>641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58.845599999999997</v>
      </c>
      <c r="Q52" s="2"/>
      <c r="T52" s="85" t="s">
        <v>105</v>
      </c>
      <c r="U52" s="86" t="s">
        <v>518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58.251199999999997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57.656799999999997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57.062399999999997</v>
      </c>
      <c r="T55" s="85" t="s">
        <v>107</v>
      </c>
      <c r="U55" s="86" t="s">
        <v>642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56.467999999999996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55.873599999999996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55.279200000000003</v>
      </c>
      <c r="T58" s="85" t="s">
        <v>108</v>
      </c>
      <c r="U58" s="86" t="s">
        <v>566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54.684800000000003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54.090400000000002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53.496000000000002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60" priority="11">
      <formula>F27&gt;0</formula>
    </cfRule>
    <cfRule type="expression" dxfId="759" priority="12">
      <formula>F27&lt;0</formula>
    </cfRule>
  </conditionalFormatting>
  <conditionalFormatting sqref="H27:H29">
    <cfRule type="expression" dxfId="758" priority="9">
      <formula>H27&gt;0</formula>
    </cfRule>
    <cfRule type="expression" dxfId="757" priority="10">
      <formula>H27&lt;0</formula>
    </cfRule>
  </conditionalFormatting>
  <conditionalFormatting sqref="F23:F26">
    <cfRule type="expression" dxfId="756" priority="7">
      <formula>F23&gt;0</formula>
    </cfRule>
    <cfRule type="expression" dxfId="755" priority="8">
      <formula>F23&lt;0</formula>
    </cfRule>
  </conditionalFormatting>
  <conditionalFormatting sqref="H23:H26">
    <cfRule type="expression" dxfId="754" priority="5">
      <formula>H23&gt;0</formula>
    </cfRule>
    <cfRule type="expression" dxfId="753" priority="6">
      <formula>H23&lt;0</formula>
    </cfRule>
  </conditionalFormatting>
  <conditionalFormatting sqref="Q8">
    <cfRule type="expression" dxfId="752" priority="1">
      <formula>Q8&gt;0</formula>
    </cfRule>
    <cfRule type="expression" dxfId="751" priority="2">
      <formula>Q8&lt;0</formula>
    </cfRule>
  </conditionalFormatting>
  <conditionalFormatting sqref="Q7">
    <cfRule type="expression" dxfId="750" priority="3">
      <formula>Q7&gt;0</formula>
    </cfRule>
    <cfRule type="expression" dxfId="74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44.52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44.52</v>
      </c>
      <c r="R4" s="504">
        <v>-3.5299999999999998E-2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02" t="s">
        <v>78</v>
      </c>
      <c r="P40" s="80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48.972000000000008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48.526800000000009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48.081600000000009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47.636400000000009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47.191200000000009</v>
      </c>
      <c r="Q45" s="2"/>
      <c r="T45" s="85" t="s">
        <v>99</v>
      </c>
      <c r="U45" s="86" t="s">
        <v>643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46.746000000000002</v>
      </c>
      <c r="Q46" s="2"/>
      <c r="T46" s="85" t="s">
        <v>100</v>
      </c>
      <c r="U46" s="86" t="s">
        <v>644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46.300800000000002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45.855600000000003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45.410400000000003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44.965200000000003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44.52</v>
      </c>
      <c r="Q51" s="2"/>
      <c r="T51" s="85" t="s">
        <v>104</v>
      </c>
      <c r="U51" s="86" t="s">
        <v>645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44.074800000000003</v>
      </c>
      <c r="Q52" s="2"/>
      <c r="T52" s="85" t="s">
        <v>105</v>
      </c>
      <c r="U52" s="86" t="s">
        <v>527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43.629600000000003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43.184400000000004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42.739200000000004</v>
      </c>
      <c r="T55" s="85" t="s">
        <v>107</v>
      </c>
      <c r="U55" s="86" t="s">
        <v>646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42.294000000000004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41.848799999999997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41.403600000000004</v>
      </c>
      <c r="T58" s="85" t="s">
        <v>108</v>
      </c>
      <c r="U58" s="86" t="s">
        <v>567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40.958400000000005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40.513200000000005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40.068000000000005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48" priority="7">
      <formula>F21&gt;0</formula>
    </cfRule>
    <cfRule type="expression" dxfId="747" priority="8">
      <formula>F21&lt;0</formula>
    </cfRule>
  </conditionalFormatting>
  <conditionalFormatting sqref="F22">
    <cfRule type="expression" dxfId="746" priority="5">
      <formula>F22&gt;0</formula>
    </cfRule>
    <cfRule type="expression" dxfId="745" priority="6">
      <formula>F22&lt;0</formula>
    </cfRule>
  </conditionalFormatting>
  <conditionalFormatting sqref="Q8">
    <cfRule type="expression" dxfId="744" priority="1">
      <formula>Q8&gt;0</formula>
    </cfRule>
    <cfRule type="expression" dxfId="743" priority="2">
      <formula>Q8&lt;0</formula>
    </cfRule>
  </conditionalFormatting>
  <conditionalFormatting sqref="Q7">
    <cfRule type="expression" dxfId="742" priority="3">
      <formula>Q7&gt;0</formula>
    </cfRule>
    <cfRule type="expression" dxfId="74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44.49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44.49</v>
      </c>
      <c r="R4" s="487">
        <v>-6.9099999999999995E-2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02" t="s">
        <v>78</v>
      </c>
      <c r="P44" s="80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48.939000000000007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48.494100000000003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48.049200000000006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47.604300000000002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47.159400000000005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46.714500000000001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46.269600000000004</v>
      </c>
      <c r="Q51" s="2"/>
      <c r="R51" s="33"/>
      <c r="T51" s="106" t="s">
        <v>104</v>
      </c>
      <c r="U51" s="104" t="s">
        <v>647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45.8247</v>
      </c>
      <c r="Q52" s="2"/>
      <c r="R52" s="33"/>
      <c r="T52" s="106" t="s">
        <v>105</v>
      </c>
      <c r="U52" s="104" t="s">
        <v>545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45.379800000000003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44.934899999999999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44.49</v>
      </c>
      <c r="Q55" s="2"/>
      <c r="R55" s="33"/>
      <c r="T55" s="106" t="s">
        <v>107</v>
      </c>
      <c r="U55" s="104" t="s">
        <v>648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44.045100000000005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43.600200000000001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43.155300000000004</v>
      </c>
      <c r="Q58" s="2"/>
      <c r="R58" s="33"/>
      <c r="T58" s="106" t="s">
        <v>108</v>
      </c>
      <c r="U58" s="104" t="s">
        <v>568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42.7104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42.265500000000003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41.820599999999999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41.375700000000002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40.930800000000005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40.485900000000001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40.041000000000004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40" priority="17">
      <formula>F38&gt;0</formula>
    </cfRule>
    <cfRule type="expression" dxfId="739" priority="18">
      <formula>F38&lt;0</formula>
    </cfRule>
  </conditionalFormatting>
  <conditionalFormatting sqref="H38:H72">
    <cfRule type="expression" dxfId="738" priority="9">
      <formula>H38&gt;0</formula>
    </cfRule>
    <cfRule type="expression" dxfId="737" priority="10">
      <formula>H38&lt;0</formula>
    </cfRule>
  </conditionalFormatting>
  <conditionalFormatting sqref="F21:F37">
    <cfRule type="expression" dxfId="736" priority="7">
      <formula>F21&gt;0</formula>
    </cfRule>
    <cfRule type="expression" dxfId="735" priority="8">
      <formula>F21&lt;0</formula>
    </cfRule>
  </conditionalFormatting>
  <conditionalFormatting sqref="H21:H37">
    <cfRule type="expression" dxfId="734" priority="5">
      <formula>H21&gt;0</formula>
    </cfRule>
    <cfRule type="expression" dxfId="733" priority="6">
      <formula>H21&lt;0</formula>
    </cfRule>
  </conditionalFormatting>
  <conditionalFormatting sqref="Q8">
    <cfRule type="expression" dxfId="732" priority="1">
      <formula>Q8&gt;0</formula>
    </cfRule>
    <cfRule type="expression" dxfId="731" priority="2">
      <formula>Q8&lt;0</formula>
    </cfRule>
  </conditionalFormatting>
  <conditionalFormatting sqref="Q7">
    <cfRule type="expression" dxfId="730" priority="3">
      <formula>Q7&gt;0</formula>
    </cfRule>
    <cfRule type="expression" dxfId="72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124.14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124.14</v>
      </c>
      <c r="R4" s="504">
        <v>-4.0399999999999998E-2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02" t="s">
        <v>78</v>
      </c>
      <c r="P46" s="802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136.554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135.3126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134.0712</v>
      </c>
      <c r="Q49" s="33"/>
      <c r="R49"/>
      <c r="T49" s="85" t="s">
        <v>103</v>
      </c>
      <c r="U49" s="92" t="s">
        <v>649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132.82980000000001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131.58840000000001</v>
      </c>
      <c r="Q51" s="81"/>
      <c r="R51"/>
      <c r="T51" s="85" t="s">
        <v>104</v>
      </c>
      <c r="U51" s="127" t="s">
        <v>650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130.34700000000001</v>
      </c>
      <c r="Q52" s="81"/>
      <c r="R52"/>
      <c r="T52" s="85" t="s">
        <v>105</v>
      </c>
      <c r="U52" s="127" t="s">
        <v>520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129.10560000000001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127.86420000000001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126.6228</v>
      </c>
      <c r="Q55" s="81"/>
      <c r="R55"/>
      <c r="T55" s="85" t="s">
        <v>107</v>
      </c>
      <c r="U55" s="127" t="s">
        <v>651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125.3814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124.14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122.8986</v>
      </c>
      <c r="Q58" s="81"/>
      <c r="R58"/>
      <c r="T58" s="85" t="s">
        <v>108</v>
      </c>
      <c r="U58" s="127" t="s">
        <v>569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121.6572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120.41579999999999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119.17439999999999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117.93299999999999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116.69159999999999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115.45020000000001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114.20880000000001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112.9674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111.726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28" priority="11">
      <formula>F24&gt;0</formula>
    </cfRule>
    <cfRule type="expression" dxfId="727" priority="12">
      <formula>F24&lt;0</formula>
    </cfRule>
  </conditionalFormatting>
  <conditionalFormatting sqref="H27:H30">
    <cfRule type="expression" dxfId="726" priority="9">
      <formula>H27&gt;0</formula>
    </cfRule>
    <cfRule type="expression" dxfId="725" priority="10">
      <formula>H27&lt;0</formula>
    </cfRule>
  </conditionalFormatting>
  <conditionalFormatting sqref="F25">
    <cfRule type="expression" dxfId="724" priority="7">
      <formula>F25&gt;0</formula>
    </cfRule>
    <cfRule type="expression" dxfId="723" priority="8">
      <formula>F25&lt;0</formula>
    </cfRule>
  </conditionalFormatting>
  <conditionalFormatting sqref="H24:H26">
    <cfRule type="expression" dxfId="722" priority="5">
      <formula>H24&gt;0</formula>
    </cfRule>
    <cfRule type="expression" dxfId="721" priority="6">
      <formula>H24&lt;0</formula>
    </cfRule>
  </conditionalFormatting>
  <conditionalFormatting sqref="Q7">
    <cfRule type="expression" dxfId="720" priority="3">
      <formula>Q7&gt;0</formula>
    </cfRule>
    <cfRule type="expression" dxfId="719" priority="4">
      <formula>Q7&lt;0</formula>
    </cfRule>
  </conditionalFormatting>
  <conditionalFormatting sqref="Q8">
    <cfRule type="expression" dxfId="718" priority="1">
      <formula>Q8&gt;0</formula>
    </cfRule>
    <cfRule type="expression" dxfId="71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56.95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56.95</v>
      </c>
      <c r="R4" s="505">
        <v>-3.4700000000000002E-2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02" t="s">
        <v>78</v>
      </c>
      <c r="Q39" s="802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62.64500000000001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62.075500000000005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61.506000000000007</v>
      </c>
      <c r="R42" s="33"/>
      <c r="T42" s="85" t="s">
        <v>99</v>
      </c>
      <c r="U42" s="127" t="s">
        <v>652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60.936500000000009</v>
      </c>
      <c r="R43" s="81"/>
      <c r="T43" s="85" t="s">
        <v>100</v>
      </c>
      <c r="U43" s="127" t="s">
        <v>653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60.367000000000004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59.797500000000007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59.228000000000002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58.658500000000004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58.089000000000006</v>
      </c>
      <c r="R48" s="81"/>
      <c r="T48" s="85" t="s">
        <v>104</v>
      </c>
      <c r="U48" s="127" t="s">
        <v>654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57.519500000000001</v>
      </c>
      <c r="R49" s="81"/>
      <c r="T49" s="85" t="s">
        <v>105</v>
      </c>
      <c r="U49" s="127" t="s">
        <v>570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56.95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56.380500000000005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55.811</v>
      </c>
      <c r="R52" s="81"/>
      <c r="T52" s="85" t="s">
        <v>107</v>
      </c>
      <c r="U52" s="127" t="s">
        <v>655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55.241500000000002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54.672000000000004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54.102499999999999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53.533000000000001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52.963500000000003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52.394000000000005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51.824500000000008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51.255000000000003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16" priority="17">
      <formula>F28&gt;0</formula>
    </cfRule>
    <cfRule type="expression" dxfId="715" priority="18">
      <formula>F28&lt;0</formula>
    </cfRule>
  </conditionalFormatting>
  <conditionalFormatting sqref="F28 F33:F35">
    <cfRule type="expression" dxfId="714" priority="19">
      <formula>F28&gt;0</formula>
    </cfRule>
    <cfRule type="expression" dxfId="713" priority="20">
      <formula>F28&lt;0</formula>
    </cfRule>
  </conditionalFormatting>
  <conditionalFormatting sqref="H28 H33:H35">
    <cfRule type="expression" dxfId="712" priority="15">
      <formula>H28&gt;0</formula>
    </cfRule>
    <cfRule type="expression" dxfId="711" priority="16">
      <formula>H28&lt;0</formula>
    </cfRule>
  </conditionalFormatting>
  <conditionalFormatting sqref="F21:F27">
    <cfRule type="expression" dxfId="710" priority="13">
      <formula>F21&gt;0</formula>
    </cfRule>
    <cfRule type="expression" dxfId="709" priority="14">
      <formula>F21&lt;0</formula>
    </cfRule>
  </conditionalFormatting>
  <conditionalFormatting sqref="H21:H27">
    <cfRule type="expression" dxfId="708" priority="11">
      <formula>H21&gt;0</formula>
    </cfRule>
    <cfRule type="expression" dxfId="707" priority="12">
      <formula>H21&lt;0</formula>
    </cfRule>
  </conditionalFormatting>
  <conditionalFormatting sqref="Q8">
    <cfRule type="expression" dxfId="706" priority="7">
      <formula>Q8&gt;0</formula>
    </cfRule>
    <cfRule type="expression" dxfId="705" priority="8">
      <formula>Q8&lt;0</formula>
    </cfRule>
  </conditionalFormatting>
  <conditionalFormatting sqref="Q7">
    <cfRule type="expression" dxfId="704" priority="9">
      <formula>Q7&gt;0</formula>
    </cfRule>
    <cfRule type="expression" dxfId="703" priority="10">
      <formula>Q7&lt;0</formula>
    </cfRule>
  </conditionalFormatting>
  <conditionalFormatting sqref="F29:F32">
    <cfRule type="expression" dxfId="702" priority="5">
      <formula>F29&gt;0</formula>
    </cfRule>
    <cfRule type="expression" dxfId="701" priority="6">
      <formula>F29&lt;0</formula>
    </cfRule>
  </conditionalFormatting>
  <conditionalFormatting sqref="H29:H32">
    <cfRule type="expression" dxfId="700" priority="3">
      <formula>H29&gt;0</formula>
    </cfRule>
    <cfRule type="expression" dxfId="699" priority="4">
      <formula>H29&lt;0</formula>
    </cfRule>
  </conditionalFormatting>
  <conditionalFormatting sqref="M37">
    <cfRule type="expression" dxfId="698" priority="1">
      <formula>M37&gt;0</formula>
    </cfRule>
    <cfRule type="expression" dxfId="69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486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50</v>
      </c>
      <c r="T2" s="83"/>
      <c r="W2" s="92">
        <v>42830</v>
      </c>
      <c r="X2" s="356">
        <v>236.26</v>
      </c>
      <c r="Y2" s="39">
        <v>237.39</v>
      </c>
      <c r="Z2" s="39">
        <v>234.54</v>
      </c>
      <c r="AA2" s="356">
        <v>234.78</v>
      </c>
      <c r="AB2" s="93">
        <v>103725600</v>
      </c>
      <c r="AC2" s="238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486">
        <v>43136</v>
      </c>
      <c r="C3" s="4">
        <v>25</v>
      </c>
      <c r="D3" s="3">
        <v>261.14999999999998</v>
      </c>
      <c r="E3" s="3">
        <v>0</v>
      </c>
      <c r="F3" s="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269.66500000000002</v>
      </c>
      <c r="T3" s="118"/>
      <c r="W3" s="92">
        <v>42829</v>
      </c>
      <c r="X3" s="356">
        <v>235</v>
      </c>
      <c r="Y3" s="39">
        <v>235.58</v>
      </c>
      <c r="Z3" s="39">
        <v>234.56</v>
      </c>
      <c r="AA3" s="356">
        <v>235.48</v>
      </c>
      <c r="AB3" s="93">
        <v>56466200</v>
      </c>
      <c r="AC3" s="238">
        <v>235.48</v>
      </c>
      <c r="AD3" s="2">
        <f>Y3-Z3</f>
        <v>1.0200000000000102</v>
      </c>
      <c r="AE3" s="134">
        <f>AC3/AC4-1</f>
        <v>6.3740279607360506E-4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263.92989999999998</v>
      </c>
      <c r="R4" s="487">
        <v>-4.1799999999999997E-2</v>
      </c>
      <c r="T4" s="118"/>
      <c r="W4" s="92">
        <v>42828</v>
      </c>
      <c r="X4" s="356">
        <v>235.8</v>
      </c>
      <c r="Y4" s="39">
        <v>236.03</v>
      </c>
      <c r="Z4" s="39">
        <v>233.91</v>
      </c>
      <c r="AA4" s="356">
        <v>235.33</v>
      </c>
      <c r="AB4" s="93">
        <v>85546500</v>
      </c>
      <c r="AC4" s="238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13196.494999999999</v>
      </c>
      <c r="W5" s="92">
        <v>42825</v>
      </c>
      <c r="X5" s="356">
        <v>235.9</v>
      </c>
      <c r="Y5" s="39">
        <v>236.51</v>
      </c>
      <c r="Z5" s="39">
        <v>235.68</v>
      </c>
      <c r="AA5" s="356">
        <v>235.74</v>
      </c>
      <c r="AB5" s="93">
        <v>73733100</v>
      </c>
      <c r="AC5" s="238">
        <v>235.74</v>
      </c>
      <c r="AD5" s="2">
        <f t="shared" si="0"/>
        <v>0.82999999999998408</v>
      </c>
      <c r="AE5" s="134">
        <f t="shared" si="1"/>
        <v>-2.3276482288712153E-3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13483.250000000002</v>
      </c>
      <c r="W6" s="92">
        <v>42824</v>
      </c>
      <c r="X6" s="356">
        <v>235.47</v>
      </c>
      <c r="Y6" s="39">
        <v>236.52</v>
      </c>
      <c r="Z6" s="39">
        <v>235.27</v>
      </c>
      <c r="AA6" s="356">
        <v>236.29</v>
      </c>
      <c r="AB6" s="93">
        <v>56737900</v>
      </c>
      <c r="AC6" s="238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-125.92500000000109</v>
      </c>
      <c r="R7" s="29">
        <v>43164</v>
      </c>
      <c r="T7" s="83"/>
      <c r="W7" s="92">
        <v>42823</v>
      </c>
      <c r="X7" s="356">
        <v>234.99</v>
      </c>
      <c r="Y7" s="39">
        <v>235.81</v>
      </c>
      <c r="Z7" s="39">
        <v>234.73</v>
      </c>
      <c r="AA7" s="356">
        <v>235.54</v>
      </c>
      <c r="AB7" s="93">
        <v>61950400</v>
      </c>
      <c r="AC7" s="238">
        <v>235.54</v>
      </c>
      <c r="AD7" s="2">
        <f t="shared" si="0"/>
        <v>1.0800000000000125</v>
      </c>
      <c r="AE7" s="134">
        <f t="shared" si="1"/>
        <v>9.3489716131234246E-4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-286.75500000000102</v>
      </c>
      <c r="W8" s="92">
        <v>42822</v>
      </c>
      <c r="X8" s="356">
        <v>233.27</v>
      </c>
      <c r="Y8" s="39">
        <v>235.81</v>
      </c>
      <c r="Z8" s="39">
        <v>233.14</v>
      </c>
      <c r="AA8" s="356">
        <v>235.32</v>
      </c>
      <c r="AB8" s="93">
        <v>93483900</v>
      </c>
      <c r="AC8" s="238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210</v>
      </c>
      <c r="P9"/>
      <c r="Q9" s="134">
        <f>IF(Q2=0, 0, Q8/Q6)</f>
        <v>-2.1267498563031981E-2</v>
      </c>
      <c r="W9" s="92">
        <v>42821</v>
      </c>
      <c r="X9" s="356">
        <v>231.93</v>
      </c>
      <c r="Y9" s="39">
        <v>233.92</v>
      </c>
      <c r="Z9" s="39">
        <v>231.61</v>
      </c>
      <c r="AA9" s="356">
        <v>233.62</v>
      </c>
      <c r="AB9" s="93">
        <v>87454500</v>
      </c>
      <c r="AC9" s="238">
        <v>233.62</v>
      </c>
      <c r="AD9" s="2">
        <f t="shared" si="0"/>
        <v>2.3099999999999739</v>
      </c>
      <c r="AE9" s="134">
        <f t="shared" si="1"/>
        <v>-1.0262550243735902E-3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160.82999999999993</v>
      </c>
      <c r="W10" s="92">
        <v>42818</v>
      </c>
      <c r="X10" s="356">
        <v>234.38</v>
      </c>
      <c r="Y10" s="39">
        <v>235.04</v>
      </c>
      <c r="Z10" s="39">
        <v>232.96</v>
      </c>
      <c r="AA10" s="356">
        <v>233.86</v>
      </c>
      <c r="AB10" s="93">
        <v>112504900</v>
      </c>
      <c r="AC10" s="238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234.28</v>
      </c>
      <c r="Y11" s="39">
        <v>235.34</v>
      </c>
      <c r="Z11" s="39">
        <v>233.6</v>
      </c>
      <c r="AA11" s="356">
        <v>234.03</v>
      </c>
      <c r="AB11" s="93">
        <v>100410300</v>
      </c>
      <c r="AC11" s="238">
        <v>234.03</v>
      </c>
      <c r="AD11" s="2">
        <f t="shared" si="0"/>
        <v>1.7400000000000091</v>
      </c>
      <c r="AE11" s="134">
        <f t="shared" si="1"/>
        <v>-1.0670991975414434E-3</v>
      </c>
      <c r="AK11" s="229"/>
      <c r="AN11" s="229"/>
    </row>
    <row r="12" spans="1:40" x14ac:dyDescent="0.25">
      <c r="W12" s="92">
        <v>42816</v>
      </c>
      <c r="X12" s="356">
        <v>233.77</v>
      </c>
      <c r="Y12" s="39">
        <v>234.61</v>
      </c>
      <c r="Z12" s="39">
        <v>233.05</v>
      </c>
      <c r="AA12" s="356">
        <v>234.28</v>
      </c>
      <c r="AB12" s="93">
        <v>97569200</v>
      </c>
      <c r="AC12" s="238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6">
        <v>237.47</v>
      </c>
      <c r="Y13" s="39">
        <v>237.61</v>
      </c>
      <c r="Z13" s="39">
        <v>233.58</v>
      </c>
      <c r="AA13" s="356">
        <v>233.73</v>
      </c>
      <c r="AB13" s="93">
        <v>131809300</v>
      </c>
      <c r="AC13" s="238">
        <v>233.73</v>
      </c>
      <c r="AD13" s="2">
        <f t="shared" si="0"/>
        <v>4.0300000000000011</v>
      </c>
      <c r="AE13" s="134">
        <f t="shared" si="1"/>
        <v>-1.2839464459179828E-2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237.03</v>
      </c>
      <c r="Y14" s="39">
        <v>237.36</v>
      </c>
      <c r="Z14" s="39">
        <v>236.32</v>
      </c>
      <c r="AA14" s="356">
        <v>236.77</v>
      </c>
      <c r="AB14" s="93">
        <v>52537000</v>
      </c>
      <c r="AC14" s="238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6">
        <v>237.75</v>
      </c>
      <c r="Y15" s="39">
        <v>237.97</v>
      </c>
      <c r="Z15" s="39">
        <v>237.03</v>
      </c>
      <c r="AA15" s="356">
        <v>237.03</v>
      </c>
      <c r="AB15" s="93">
        <v>89002100</v>
      </c>
      <c r="AC15" s="238">
        <v>237.03</v>
      </c>
      <c r="AD15" s="2">
        <f t="shared" si="0"/>
        <v>0.93999999999999773</v>
      </c>
      <c r="AE15" s="134" t="e">
        <f t="shared" si="1"/>
        <v>#DIV/0!</v>
      </c>
      <c r="AK15" s="229"/>
      <c r="AN15" s="229"/>
    </row>
    <row r="16" spans="1:40" x14ac:dyDescent="0.25">
      <c r="W16" s="92">
        <v>42811</v>
      </c>
      <c r="X16" s="356" t="s">
        <v>528</v>
      </c>
      <c r="Y16" s="39"/>
      <c r="Z16" s="39"/>
      <c r="AA16" s="356"/>
      <c r="AB16" s="93"/>
      <c r="AC16" s="238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6">
        <v>239.11</v>
      </c>
      <c r="Y17" s="39">
        <v>239.2</v>
      </c>
      <c r="Z17" s="39">
        <v>238.1</v>
      </c>
      <c r="AA17" s="356">
        <v>238.48</v>
      </c>
      <c r="AB17" s="93">
        <v>78344000</v>
      </c>
      <c r="AC17" s="238">
        <v>237.45</v>
      </c>
      <c r="AD17" s="2">
        <f t="shared" si="0"/>
        <v>1.0999999999999943</v>
      </c>
      <c r="AE17" s="134">
        <f t="shared" si="1"/>
        <v>-1.9335042663192192E-3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50</v>
      </c>
      <c r="D18" s="14"/>
      <c r="E18" s="14"/>
      <c r="F18" s="18">
        <f>SUM(F2:F6)</f>
        <v>13483.25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6">
        <v>237.56</v>
      </c>
      <c r="Y18" s="39">
        <v>239.44</v>
      </c>
      <c r="Z18" s="39">
        <v>237.29</v>
      </c>
      <c r="AA18" s="356">
        <v>238.95</v>
      </c>
      <c r="AB18" s="93">
        <v>96081800</v>
      </c>
      <c r="AC18" s="238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6">
        <v>237.18</v>
      </c>
      <c r="Y19" s="39">
        <v>237.24</v>
      </c>
      <c r="Z19" s="39">
        <v>236.19</v>
      </c>
      <c r="AA19" s="356">
        <v>236.9</v>
      </c>
      <c r="AB19" s="93">
        <v>59880800</v>
      </c>
      <c r="AC19" s="238">
        <v>235.87</v>
      </c>
      <c r="AD19" s="2">
        <f t="shared" si="0"/>
        <v>1.0500000000000114</v>
      </c>
      <c r="AE19" s="134">
        <f t="shared" si="1"/>
        <v>-3.8432300025339483E-3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42807</v>
      </c>
      <c r="X20" s="356">
        <v>237.62</v>
      </c>
      <c r="Y20" s="39">
        <v>237.86</v>
      </c>
      <c r="Z20" s="39">
        <v>237.24</v>
      </c>
      <c r="AA20" s="356">
        <v>237.81</v>
      </c>
      <c r="AB20" s="93">
        <v>57256800</v>
      </c>
      <c r="AC20" s="238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W21" s="92">
        <v>42804</v>
      </c>
      <c r="X21" s="356">
        <v>237.97</v>
      </c>
      <c r="Y21" s="39">
        <v>238.02</v>
      </c>
      <c r="Z21" s="39">
        <v>236.59</v>
      </c>
      <c r="AA21" s="356">
        <v>237.69</v>
      </c>
      <c r="AB21" s="93">
        <v>81991700</v>
      </c>
      <c r="AC21" s="238">
        <v>236.66</v>
      </c>
      <c r="AD21" s="2">
        <f t="shared" si="0"/>
        <v>1.4300000000000068</v>
      </c>
      <c r="AE21" s="134">
        <f t="shared" si="1"/>
        <v>3.5194843743373561E-3</v>
      </c>
      <c r="AK21" s="229"/>
      <c r="AN21" s="229"/>
    </row>
    <row r="22" spans="1:4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W22" s="92">
        <v>42803</v>
      </c>
      <c r="X22" s="356">
        <v>236.7</v>
      </c>
      <c r="Y22" s="39">
        <v>237.24</v>
      </c>
      <c r="Z22" s="39">
        <v>235.74</v>
      </c>
      <c r="AA22" s="356">
        <v>236.86</v>
      </c>
      <c r="AB22" s="93">
        <v>90683900</v>
      </c>
      <c r="AC22" s="238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42802</v>
      </c>
      <c r="X23" s="356">
        <v>237.34</v>
      </c>
      <c r="Y23" s="39">
        <v>237.64</v>
      </c>
      <c r="Z23" s="39">
        <v>236.4</v>
      </c>
      <c r="AA23" s="356">
        <v>236.56</v>
      </c>
      <c r="AB23" s="93">
        <v>78168800</v>
      </c>
      <c r="AC23" s="238">
        <v>235.54</v>
      </c>
      <c r="AD23" s="2">
        <f t="shared" si="0"/>
        <v>1.2399999999999807</v>
      </c>
      <c r="AE23" s="134">
        <f t="shared" si="1"/>
        <v>-1.8222655422299727E-3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42801</v>
      </c>
      <c r="X24" s="356">
        <v>237.36</v>
      </c>
      <c r="Y24" s="39">
        <v>237.77</v>
      </c>
      <c r="Z24" s="39">
        <v>236.76</v>
      </c>
      <c r="AA24" s="356">
        <v>237</v>
      </c>
      <c r="AB24" s="93">
        <v>65103700</v>
      </c>
      <c r="AC24" s="238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42800</v>
      </c>
      <c r="X25" s="356">
        <v>237.5</v>
      </c>
      <c r="Y25" s="39">
        <v>238.12</v>
      </c>
      <c r="Z25" s="39">
        <v>237.01</v>
      </c>
      <c r="AA25" s="356">
        <v>237.71</v>
      </c>
      <c r="AB25" s="93">
        <v>55391500</v>
      </c>
      <c r="AC25" s="238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42797</v>
      </c>
      <c r="X26" s="356">
        <v>238.17</v>
      </c>
      <c r="Y26" s="39">
        <v>238.61</v>
      </c>
      <c r="Z26" s="39">
        <v>237.73</v>
      </c>
      <c r="AA26" s="356">
        <v>238.42</v>
      </c>
      <c r="AB26" s="93">
        <v>81974300</v>
      </c>
      <c r="AC26" s="238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42796</v>
      </c>
      <c r="X27" s="356">
        <v>239.56</v>
      </c>
      <c r="Y27" s="39">
        <v>239.57</v>
      </c>
      <c r="Z27" s="39">
        <v>238.21</v>
      </c>
      <c r="AA27" s="356">
        <v>238.27</v>
      </c>
      <c r="AB27" s="93">
        <v>70246000</v>
      </c>
      <c r="AC27" s="238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42795</v>
      </c>
      <c r="X28" s="356">
        <v>238.39</v>
      </c>
      <c r="Y28" s="39">
        <v>240.32</v>
      </c>
      <c r="Z28" s="39">
        <v>238.37</v>
      </c>
      <c r="AA28" s="356">
        <v>239.78</v>
      </c>
      <c r="AB28" s="93">
        <v>149158200</v>
      </c>
      <c r="AC28" s="238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42794</v>
      </c>
      <c r="X29" s="356">
        <v>236.67</v>
      </c>
      <c r="Y29" s="39">
        <v>236.95</v>
      </c>
      <c r="Z29" s="39">
        <v>236.02</v>
      </c>
      <c r="AA29" s="356">
        <v>236.47</v>
      </c>
      <c r="AB29" s="93">
        <v>96961900</v>
      </c>
      <c r="AC29" s="238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42793</v>
      </c>
      <c r="X30" s="356">
        <v>236.64</v>
      </c>
      <c r="Y30" s="39">
        <v>237.31</v>
      </c>
      <c r="Z30" s="39">
        <v>236.35</v>
      </c>
      <c r="AA30" s="356">
        <v>237.11</v>
      </c>
      <c r="AB30" s="93">
        <v>56515400</v>
      </c>
      <c r="AC30" s="238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42790</v>
      </c>
      <c r="X31" s="356">
        <v>235.46</v>
      </c>
      <c r="Y31" s="39">
        <v>236.79</v>
      </c>
      <c r="Z31" s="39">
        <v>235.41</v>
      </c>
      <c r="AA31" s="356">
        <v>236.74</v>
      </c>
      <c r="AB31" s="93">
        <v>82381600</v>
      </c>
      <c r="AC31" s="238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42789</v>
      </c>
      <c r="X32" s="356">
        <v>236.88</v>
      </c>
      <c r="Y32" s="39">
        <v>236.9</v>
      </c>
      <c r="Z32" s="39">
        <v>235.56</v>
      </c>
      <c r="AA32" s="356">
        <v>236.44</v>
      </c>
      <c r="AB32" s="93">
        <v>74615900</v>
      </c>
      <c r="AC32" s="238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42788</v>
      </c>
      <c r="X33" s="356">
        <v>236.02</v>
      </c>
      <c r="Y33" s="39">
        <v>236.54</v>
      </c>
      <c r="Z33" s="39">
        <v>235.83</v>
      </c>
      <c r="AA33" s="356">
        <v>236.28</v>
      </c>
      <c r="AB33" s="93">
        <v>62115200</v>
      </c>
      <c r="AC33" s="238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42787</v>
      </c>
      <c r="X34" s="356">
        <v>235.52</v>
      </c>
      <c r="Y34" s="39">
        <v>236.69</v>
      </c>
      <c r="Z34" s="39">
        <v>235.51</v>
      </c>
      <c r="AA34" s="356">
        <v>236.49</v>
      </c>
      <c r="AB34" s="93">
        <v>88946100</v>
      </c>
      <c r="AC34" s="238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42783</v>
      </c>
      <c r="X35" s="356">
        <v>233.95</v>
      </c>
      <c r="Y35" s="39">
        <v>235.09</v>
      </c>
      <c r="Z35" s="39">
        <v>233.93</v>
      </c>
      <c r="AA35" s="356">
        <v>235.09</v>
      </c>
      <c r="AB35" s="93">
        <v>77204100</v>
      </c>
      <c r="AC35" s="238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6">
        <v>234.95</v>
      </c>
      <c r="Y36" s="39">
        <v>235.16</v>
      </c>
      <c r="Z36" s="39">
        <v>233.85</v>
      </c>
      <c r="AA36" s="356">
        <v>234.72</v>
      </c>
      <c r="AB36" s="93">
        <v>84722400</v>
      </c>
      <c r="AC36" s="238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209</v>
      </c>
      <c r="M37" s="2">
        <f>M55+K55-F55</f>
        <v>160.82999999999993</v>
      </c>
      <c r="W37" s="92">
        <v>42781</v>
      </c>
      <c r="X37" s="356">
        <v>233.45</v>
      </c>
      <c r="Y37" s="39">
        <v>235.14</v>
      </c>
      <c r="Z37" s="39">
        <v>233.39</v>
      </c>
      <c r="AA37" s="356">
        <v>234.92</v>
      </c>
      <c r="AB37" s="93">
        <v>86785800</v>
      </c>
      <c r="AC37" s="238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42780</v>
      </c>
      <c r="X38" s="356">
        <v>232.56</v>
      </c>
      <c r="Y38" s="39">
        <v>233.71</v>
      </c>
      <c r="Z38" s="39">
        <v>232.16</v>
      </c>
      <c r="AA38" s="356">
        <v>233.7</v>
      </c>
      <c r="AB38" s="93">
        <v>71109000</v>
      </c>
      <c r="AC38" s="238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  <c r="P39" s="802" t="s">
        <v>78</v>
      </c>
      <c r="Q39" s="802"/>
      <c r="R39" s="33"/>
      <c r="T39" s="89" t="s">
        <v>112</v>
      </c>
      <c r="W39" s="92">
        <v>42779</v>
      </c>
      <c r="X39" s="356">
        <v>232.08</v>
      </c>
      <c r="Y39" s="39">
        <v>233.07</v>
      </c>
      <c r="Z39" s="39">
        <v>232.05</v>
      </c>
      <c r="AA39" s="356">
        <v>232.77</v>
      </c>
      <c r="AB39" s="93">
        <v>55182100</v>
      </c>
      <c r="AC39" s="238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  <c r="P40" s="81">
        <v>1.1000000000000001</v>
      </c>
      <c r="Q40" s="81">
        <f>P40*$Q$4</f>
        <v>290.32288999999997</v>
      </c>
      <c r="R40" s="33"/>
      <c r="T40" s="95" t="s">
        <v>97</v>
      </c>
      <c r="U40" s="126">
        <v>235.48</v>
      </c>
      <c r="W40" s="92">
        <v>42776</v>
      </c>
      <c r="X40" s="356">
        <v>231</v>
      </c>
      <c r="Y40" s="39">
        <v>231.77</v>
      </c>
      <c r="Z40" s="39">
        <v>230.62</v>
      </c>
      <c r="AA40" s="356">
        <v>231.51</v>
      </c>
      <c r="AB40" s="93">
        <v>66015900</v>
      </c>
      <c r="AC40" s="238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  <c r="P41" s="81">
        <v>1.0900000000000001</v>
      </c>
      <c r="Q41" s="81">
        <f t="shared" ref="Q41:Q60" si="2">P41*$Q$4</f>
        <v>287.68359099999998</v>
      </c>
      <c r="R41" s="33"/>
      <c r="T41" s="85" t="s">
        <v>98</v>
      </c>
      <c r="U41" s="127">
        <v>236.26</v>
      </c>
      <c r="W41" s="92">
        <v>42775</v>
      </c>
      <c r="X41" s="356">
        <v>229.24</v>
      </c>
      <c r="Y41" s="39">
        <v>230.95</v>
      </c>
      <c r="Z41" s="39">
        <v>229.24</v>
      </c>
      <c r="AA41" s="356">
        <v>230.6</v>
      </c>
      <c r="AB41" s="93">
        <v>65955200</v>
      </c>
      <c r="AC41" s="238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  <c r="P42" s="81">
        <v>1.08</v>
      </c>
      <c r="Q42" s="81">
        <f t="shared" si="2"/>
        <v>285.04429199999998</v>
      </c>
      <c r="R42" s="33"/>
      <c r="T42" s="85" t="s">
        <v>99</v>
      </c>
      <c r="U42" s="127" t="s">
        <v>128</v>
      </c>
      <c r="W42" s="92">
        <v>42774</v>
      </c>
      <c r="X42" s="356">
        <v>228.94</v>
      </c>
      <c r="Y42" s="39">
        <v>229.39</v>
      </c>
      <c r="Z42" s="39">
        <v>228.31</v>
      </c>
      <c r="AA42" s="356">
        <v>229.24</v>
      </c>
      <c r="AB42" s="93">
        <v>51566200</v>
      </c>
      <c r="AC42" s="238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282.40499299999999</v>
      </c>
      <c r="R43" s="81"/>
      <c r="T43" s="85" t="s">
        <v>100</v>
      </c>
      <c r="U43" s="127" t="s">
        <v>128</v>
      </c>
      <c r="W43" s="92">
        <v>42773</v>
      </c>
      <c r="X43" s="356">
        <v>229.38</v>
      </c>
      <c r="Y43" s="39">
        <v>229.66</v>
      </c>
      <c r="Z43" s="39">
        <v>228.72</v>
      </c>
      <c r="AA43" s="356">
        <v>228.94</v>
      </c>
      <c r="AB43" s="93">
        <v>57931200</v>
      </c>
      <c r="AC43" s="238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279.765694</v>
      </c>
      <c r="R44" s="81"/>
      <c r="T44" s="85" t="s">
        <v>323</v>
      </c>
      <c r="U44" s="127">
        <v>235.52</v>
      </c>
      <c r="W44" s="92">
        <v>42772</v>
      </c>
      <c r="X44" s="356">
        <v>228.87</v>
      </c>
      <c r="Y44" s="39">
        <v>229.33</v>
      </c>
      <c r="Z44" s="39">
        <v>228.54</v>
      </c>
      <c r="AA44" s="356">
        <v>228.93</v>
      </c>
      <c r="AB44" s="93">
        <v>57790100</v>
      </c>
      <c r="AC44" s="238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277.126395</v>
      </c>
      <c r="R45" s="81"/>
      <c r="T45" s="85" t="s">
        <v>324</v>
      </c>
      <c r="U45" s="127" t="s">
        <v>490</v>
      </c>
      <c r="W45" s="92">
        <v>42769</v>
      </c>
      <c r="X45" s="356">
        <v>228.82</v>
      </c>
      <c r="Y45" s="39">
        <v>229.55</v>
      </c>
      <c r="Z45" s="39">
        <v>228.46</v>
      </c>
      <c r="AA45" s="356">
        <v>229.34</v>
      </c>
      <c r="AB45" s="93">
        <v>80563200</v>
      </c>
      <c r="AC45" s="238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274.48709600000001</v>
      </c>
      <c r="R46" s="81"/>
      <c r="T46" s="85" t="s">
        <v>325</v>
      </c>
      <c r="U46" s="227">
        <v>5.79E-2</v>
      </c>
      <c r="W46" s="92">
        <v>42768</v>
      </c>
      <c r="X46" s="356">
        <v>227.62</v>
      </c>
      <c r="Y46" s="39">
        <v>228.1</v>
      </c>
      <c r="Z46" s="39">
        <v>226.82</v>
      </c>
      <c r="AA46" s="356">
        <v>227.77</v>
      </c>
      <c r="AB46" s="93">
        <v>69657600</v>
      </c>
      <c r="AC46" s="238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271.84779699999996</v>
      </c>
      <c r="R47" s="81"/>
      <c r="T47" s="85"/>
      <c r="U47" s="127"/>
      <c r="W47" s="92">
        <v>42767</v>
      </c>
      <c r="X47" s="356">
        <v>227.53</v>
      </c>
      <c r="Y47" s="39">
        <v>228.59</v>
      </c>
      <c r="Z47" s="39">
        <v>226.94</v>
      </c>
      <c r="AA47" s="356">
        <v>227.62</v>
      </c>
      <c r="AB47" s="93">
        <v>79117700</v>
      </c>
      <c r="AC47" s="238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269.20849799999996</v>
      </c>
      <c r="R48" s="81"/>
      <c r="T48" s="85" t="s">
        <v>104</v>
      </c>
      <c r="U48" s="127" t="s">
        <v>656</v>
      </c>
      <c r="W48" s="92">
        <v>42766</v>
      </c>
      <c r="X48" s="356">
        <v>226.98</v>
      </c>
      <c r="Y48" s="39">
        <v>227.6</v>
      </c>
      <c r="Z48" s="39">
        <v>226.32</v>
      </c>
      <c r="AA48" s="356">
        <v>227.53</v>
      </c>
      <c r="AB48" s="93">
        <v>75880800</v>
      </c>
      <c r="AC48" s="238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266.56919899999997</v>
      </c>
      <c r="R49" s="81"/>
      <c r="T49" s="85" t="s">
        <v>105</v>
      </c>
      <c r="U49" s="127" t="s">
        <v>496</v>
      </c>
      <c r="W49" s="92">
        <v>42765</v>
      </c>
      <c r="X49" s="356">
        <v>228.17</v>
      </c>
      <c r="Y49" s="39">
        <v>228.2</v>
      </c>
      <c r="Z49" s="39">
        <v>226.41</v>
      </c>
      <c r="AA49" s="356">
        <v>227.55</v>
      </c>
      <c r="AB49" s="93">
        <v>79737300</v>
      </c>
      <c r="AC49" s="238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263.92989999999998</v>
      </c>
      <c r="R50" s="81"/>
      <c r="T50" s="85" t="s">
        <v>106</v>
      </c>
      <c r="U50" s="128">
        <v>108800604</v>
      </c>
      <c r="W50" s="92">
        <v>42762</v>
      </c>
      <c r="X50" s="356">
        <v>229.42</v>
      </c>
      <c r="Y50" s="39">
        <v>229.59</v>
      </c>
      <c r="Z50" s="39">
        <v>228.76</v>
      </c>
      <c r="AA50" s="356">
        <v>228.97</v>
      </c>
      <c r="AB50" s="93">
        <v>59711100</v>
      </c>
      <c r="AC50" s="238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261.29060099999998</v>
      </c>
      <c r="R51" s="81"/>
      <c r="T51" s="85" t="s">
        <v>109</v>
      </c>
      <c r="U51" s="128">
        <v>76864400</v>
      </c>
      <c r="W51" s="92">
        <v>42761</v>
      </c>
      <c r="X51" s="356">
        <v>229.4</v>
      </c>
      <c r="Y51" s="39">
        <v>229.71</v>
      </c>
      <c r="Z51" s="39">
        <v>229.01</v>
      </c>
      <c r="AA51" s="356">
        <v>229.33</v>
      </c>
      <c r="AB51" s="93">
        <v>59970700</v>
      </c>
      <c r="AC51" s="238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258.65130199999999</v>
      </c>
      <c r="R52" s="81"/>
      <c r="T52" s="85" t="s">
        <v>326</v>
      </c>
      <c r="U52" s="127">
        <v>20</v>
      </c>
      <c r="W52" s="92">
        <v>42760</v>
      </c>
      <c r="X52" s="356">
        <v>228.7</v>
      </c>
      <c r="Y52" s="39">
        <v>229.57</v>
      </c>
      <c r="Z52" s="39">
        <v>228.51</v>
      </c>
      <c r="AA52" s="356">
        <v>229.57</v>
      </c>
      <c r="AB52" s="93">
        <v>84437700</v>
      </c>
      <c r="AC52" s="238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256.01200299999999</v>
      </c>
      <c r="R53" s="81"/>
      <c r="T53" s="85" t="s">
        <v>327</v>
      </c>
      <c r="U53" s="127">
        <v>1.92</v>
      </c>
      <c r="W53" s="92">
        <v>42759</v>
      </c>
      <c r="X53" s="356">
        <v>226.4</v>
      </c>
      <c r="Y53" s="39">
        <v>228.08</v>
      </c>
      <c r="Z53" s="39">
        <v>226.27</v>
      </c>
      <c r="AA53" s="356">
        <v>227.6</v>
      </c>
      <c r="AB53" s="93">
        <v>95555300</v>
      </c>
      <c r="AC53" s="238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253.37270399999997</v>
      </c>
      <c r="R54" s="81"/>
      <c r="T54" s="85"/>
      <c r="U54" s="127"/>
      <c r="W54" s="92">
        <v>42758</v>
      </c>
      <c r="X54" s="356">
        <v>226.74</v>
      </c>
      <c r="Y54" s="39">
        <v>226.81</v>
      </c>
      <c r="Z54" s="39">
        <v>225.27</v>
      </c>
      <c r="AA54" s="356">
        <v>226.15</v>
      </c>
      <c r="AB54" s="93">
        <v>75061600</v>
      </c>
      <c r="AC54" s="238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2"/>
        <v>250.73340499999998</v>
      </c>
      <c r="R55" s="81"/>
      <c r="T55" s="85"/>
      <c r="U55" s="127"/>
      <c r="W55" s="92">
        <v>42755</v>
      </c>
      <c r="X55" s="356">
        <v>226.7</v>
      </c>
      <c r="Y55" s="39">
        <v>227.31</v>
      </c>
      <c r="Z55" s="39">
        <v>225.97</v>
      </c>
      <c r="AA55" s="356">
        <v>226.74</v>
      </c>
      <c r="AB55" s="93">
        <v>129168600</v>
      </c>
      <c r="AC55" s="238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2"/>
        <v>248.09410599999995</v>
      </c>
      <c r="R56" s="81"/>
      <c r="W56" s="92">
        <v>42754</v>
      </c>
      <c r="X56" s="356">
        <v>226.84</v>
      </c>
      <c r="Y56" s="39">
        <v>227</v>
      </c>
      <c r="Z56" s="39">
        <v>225.41</v>
      </c>
      <c r="AA56" s="356">
        <v>225.91</v>
      </c>
      <c r="AB56" s="93">
        <v>66608800</v>
      </c>
      <c r="AC56" s="238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B57" s="797" t="s">
        <v>113</v>
      </c>
      <c r="C57" s="797" t="s">
        <v>146</v>
      </c>
      <c r="D57" s="798" t="s">
        <v>145</v>
      </c>
      <c r="E57" s="799" t="s">
        <v>147</v>
      </c>
      <c r="F57" s="799" t="s">
        <v>65</v>
      </c>
      <c r="G57" s="800" t="s">
        <v>151</v>
      </c>
      <c r="H57" s="800" t="s">
        <v>88</v>
      </c>
      <c r="I57" s="800" t="s">
        <v>154</v>
      </c>
      <c r="O57" s="2"/>
      <c r="P57" s="81">
        <v>0.93</v>
      </c>
      <c r="Q57" s="81">
        <f t="shared" si="2"/>
        <v>245.45480699999999</v>
      </c>
      <c r="R57" s="81"/>
      <c r="W57" s="92">
        <v>42753</v>
      </c>
      <c r="X57" s="356">
        <v>226.54</v>
      </c>
      <c r="Y57" s="39">
        <v>226.8</v>
      </c>
      <c r="Z57" s="39">
        <v>225.9</v>
      </c>
      <c r="AA57" s="356">
        <v>226.75</v>
      </c>
      <c r="AB57" s="93">
        <v>54793300</v>
      </c>
      <c r="AC57" s="238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B58" s="650">
        <v>42377</v>
      </c>
      <c r="C58" s="649">
        <v>20</v>
      </c>
      <c r="D58" s="651">
        <v>192.9</v>
      </c>
      <c r="E58" s="651">
        <v>191.92</v>
      </c>
      <c r="F58" s="651">
        <f>C58*(E58-D58)</f>
        <v>-19.600000000000364</v>
      </c>
      <c r="G58" s="651">
        <f>D58*C58</f>
        <v>3858</v>
      </c>
      <c r="H58" s="652">
        <f>(E58-D58)/D58</f>
        <v>-5.0803525142561852E-3</v>
      </c>
      <c r="I58" s="651"/>
      <c r="O58" s="2"/>
      <c r="P58" s="81">
        <v>0.92</v>
      </c>
      <c r="Q58" s="81">
        <f t="shared" si="2"/>
        <v>242.81550799999999</v>
      </c>
      <c r="R58" s="81"/>
      <c r="W58" s="92">
        <v>42752</v>
      </c>
      <c r="X58" s="356">
        <v>226.31</v>
      </c>
      <c r="Y58" s="39">
        <v>226.78</v>
      </c>
      <c r="Z58" s="39">
        <v>225.8</v>
      </c>
      <c r="AA58" s="356">
        <v>226.25</v>
      </c>
      <c r="AB58" s="93">
        <v>61240800</v>
      </c>
      <c r="AC58" s="238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B59" s="650">
        <v>42384</v>
      </c>
      <c r="C59" s="649">
        <v>25</v>
      </c>
      <c r="D59" s="651">
        <v>191.678</v>
      </c>
      <c r="E59" s="651">
        <v>187.81</v>
      </c>
      <c r="F59" s="651">
        <f t="shared" ref="F59:F65" si="3">C59*(E59-D59)</f>
        <v>-96.699999999999875</v>
      </c>
      <c r="G59" s="651">
        <f t="shared" ref="G59:G65" si="4">D59*C59</f>
        <v>4791.95</v>
      </c>
      <c r="H59" s="652">
        <f t="shared" ref="H59:H65" si="5">(E59-D59)/D59</f>
        <v>-2.0179676332182071E-2</v>
      </c>
      <c r="I59" s="651"/>
      <c r="O59" s="2"/>
      <c r="P59" s="81">
        <v>0.91</v>
      </c>
      <c r="Q59" s="81">
        <f t="shared" si="2"/>
        <v>240.17620899999997</v>
      </c>
      <c r="R59" s="81"/>
      <c r="W59" s="92">
        <v>42748</v>
      </c>
      <c r="X59" s="356">
        <v>226.73</v>
      </c>
      <c r="Y59" s="39">
        <v>227.4</v>
      </c>
      <c r="Z59" s="39">
        <v>226.69</v>
      </c>
      <c r="AA59" s="356">
        <v>227.05</v>
      </c>
      <c r="AB59" s="93">
        <v>62717900</v>
      </c>
      <c r="AC59" s="238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B60" s="650">
        <v>42398</v>
      </c>
      <c r="C60" s="649">
        <v>5</v>
      </c>
      <c r="D60" s="651">
        <v>189.52</v>
      </c>
      <c r="E60" s="651">
        <v>191.87</v>
      </c>
      <c r="F60" s="651">
        <f t="shared" si="3"/>
        <v>11.749999999999972</v>
      </c>
      <c r="G60" s="651">
        <f t="shared" si="4"/>
        <v>947.6</v>
      </c>
      <c r="H60" s="652">
        <f t="shared" si="5"/>
        <v>1.2399746728577429E-2</v>
      </c>
      <c r="I60" s="651"/>
      <c r="O60" s="2"/>
      <c r="P60" s="81">
        <v>0.9</v>
      </c>
      <c r="Q60" s="81">
        <f t="shared" si="2"/>
        <v>237.53690999999998</v>
      </c>
      <c r="R60" s="81"/>
      <c r="W60" s="92">
        <v>42747</v>
      </c>
      <c r="X60" s="356">
        <v>226.5</v>
      </c>
      <c r="Y60" s="39">
        <v>226.75</v>
      </c>
      <c r="Z60" s="39">
        <v>224.96</v>
      </c>
      <c r="AA60" s="356">
        <v>226.53</v>
      </c>
      <c r="AB60" s="93">
        <v>72113200</v>
      </c>
      <c r="AC60" s="238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B61" s="650">
        <v>42405</v>
      </c>
      <c r="C61" s="649">
        <v>20</v>
      </c>
      <c r="D61" s="651">
        <v>188.23099999999999</v>
      </c>
      <c r="E61" s="651">
        <v>187.8</v>
      </c>
      <c r="F61" s="651">
        <f t="shared" si="3"/>
        <v>-8.6199999999996635</v>
      </c>
      <c r="G61" s="651">
        <f t="shared" si="4"/>
        <v>3764.62</v>
      </c>
      <c r="H61" s="652">
        <f t="shared" si="5"/>
        <v>-2.2897397346876083E-3</v>
      </c>
      <c r="I61" s="651"/>
      <c r="W61" s="92">
        <v>42746</v>
      </c>
      <c r="X61" s="356">
        <v>226.36</v>
      </c>
      <c r="Y61" s="39">
        <v>227.1</v>
      </c>
      <c r="Z61" s="39">
        <v>225.59</v>
      </c>
      <c r="AA61" s="356">
        <v>227.1</v>
      </c>
      <c r="AB61" s="93">
        <v>74650000</v>
      </c>
      <c r="AC61" s="238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B62" s="650">
        <v>42408</v>
      </c>
      <c r="C62" s="649">
        <v>25</v>
      </c>
      <c r="D62" s="651">
        <v>187.29480000000001</v>
      </c>
      <c r="E62" s="651">
        <v>185.42</v>
      </c>
      <c r="F62" s="651">
        <f t="shared" si="3"/>
        <v>-46.870000000000545</v>
      </c>
      <c r="G62" s="651">
        <f t="shared" si="4"/>
        <v>4682.37</v>
      </c>
      <c r="H62" s="652">
        <f t="shared" si="5"/>
        <v>-1.0009888154930204E-2</v>
      </c>
      <c r="I62" s="651"/>
      <c r="W62" s="92">
        <v>42745</v>
      </c>
      <c r="X62" s="356">
        <v>226.48</v>
      </c>
      <c r="Y62" s="39">
        <v>227.45</v>
      </c>
      <c r="Z62" s="39">
        <v>226.01</v>
      </c>
      <c r="AA62" s="356">
        <v>226.46</v>
      </c>
      <c r="AB62" s="93">
        <v>63771900</v>
      </c>
      <c r="AC62" s="238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B63" s="650">
        <v>42416</v>
      </c>
      <c r="C63" s="649">
        <v>15</v>
      </c>
      <c r="D63" s="651">
        <v>185.994</v>
      </c>
      <c r="E63" s="651">
        <v>189.78</v>
      </c>
      <c r="F63" s="651">
        <f t="shared" si="3"/>
        <v>56.79000000000002</v>
      </c>
      <c r="G63" s="651">
        <f t="shared" si="4"/>
        <v>2789.91</v>
      </c>
      <c r="H63" s="652">
        <f t="shared" si="5"/>
        <v>2.0355495338559317E-2</v>
      </c>
      <c r="I63" s="651"/>
      <c r="W63" s="92">
        <v>42744</v>
      </c>
      <c r="X63" s="356">
        <v>226.91</v>
      </c>
      <c r="Y63" s="39">
        <v>227.07</v>
      </c>
      <c r="Z63" s="39">
        <v>226.42</v>
      </c>
      <c r="AA63" s="356">
        <v>226.46</v>
      </c>
      <c r="AB63" s="93">
        <v>46265300</v>
      </c>
      <c r="AC63" s="238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B64" s="650">
        <v>42424</v>
      </c>
      <c r="C64" s="649">
        <v>5</v>
      </c>
      <c r="D64" s="651">
        <v>169.39</v>
      </c>
      <c r="E64" s="651">
        <v>193.2</v>
      </c>
      <c r="F64" s="651">
        <f t="shared" si="3"/>
        <v>119.05000000000001</v>
      </c>
      <c r="G64" s="651">
        <f t="shared" si="4"/>
        <v>846.94999999999993</v>
      </c>
      <c r="H64" s="652">
        <f t="shared" si="5"/>
        <v>0.1405631973552158</v>
      </c>
      <c r="I64" s="651"/>
      <c r="W64" s="92">
        <v>42741</v>
      </c>
      <c r="X64" s="356">
        <v>226.53</v>
      </c>
      <c r="Y64" s="39">
        <v>227.75</v>
      </c>
      <c r="Z64" s="39">
        <v>225.9</v>
      </c>
      <c r="AA64" s="356">
        <v>227.21</v>
      </c>
      <c r="AB64" s="93">
        <v>71559900</v>
      </c>
      <c r="AC64" s="238">
        <v>226.23</v>
      </c>
      <c r="AD64" s="2">
        <f t="shared" si="0"/>
        <v>1.8499999999999943</v>
      </c>
      <c r="AE64" s="134">
        <f t="shared" si="1"/>
        <v>3.5932925206281219E-3</v>
      </c>
    </row>
    <row r="65" spans="2:31" x14ac:dyDescent="0.25">
      <c r="B65" s="650">
        <v>42431</v>
      </c>
      <c r="C65" s="649">
        <v>5</v>
      </c>
      <c r="D65" s="651">
        <v>169.39</v>
      </c>
      <c r="E65" s="651">
        <v>199</v>
      </c>
      <c r="F65" s="651">
        <f t="shared" si="3"/>
        <v>148.05000000000007</v>
      </c>
      <c r="G65" s="651">
        <f t="shared" si="4"/>
        <v>846.94999999999993</v>
      </c>
      <c r="H65" s="652">
        <f t="shared" si="5"/>
        <v>0.17480370742074511</v>
      </c>
      <c r="I65" s="651"/>
      <c r="W65" s="92">
        <v>42740</v>
      </c>
      <c r="X65" s="356">
        <v>226.27</v>
      </c>
      <c r="Y65" s="39">
        <v>226.58</v>
      </c>
      <c r="Z65" s="39">
        <v>225.48</v>
      </c>
      <c r="AA65" s="356">
        <v>226.4</v>
      </c>
      <c r="AB65" s="93">
        <v>78379000</v>
      </c>
      <c r="AC65" s="238">
        <v>225.42</v>
      </c>
      <c r="AD65" s="2">
        <f t="shared" si="0"/>
        <v>1.1000000000000227</v>
      </c>
      <c r="AE65" s="134">
        <f t="shared" si="1"/>
        <v>-7.9787234042560939E-4</v>
      </c>
    </row>
    <row r="66" spans="2:31" x14ac:dyDescent="0.25">
      <c r="B66" s="650">
        <v>42440</v>
      </c>
      <c r="C66" s="649">
        <v>0</v>
      </c>
      <c r="D66" s="651"/>
      <c r="E66" s="651"/>
      <c r="F66" s="651">
        <v>160.83000000000001</v>
      </c>
      <c r="G66" s="651"/>
      <c r="H66" s="652"/>
      <c r="I66" s="651"/>
      <c r="W66" s="92">
        <v>42739</v>
      </c>
      <c r="X66" s="356">
        <v>225.62</v>
      </c>
      <c r="Y66" s="39">
        <v>226.75</v>
      </c>
      <c r="Z66" s="39">
        <v>225.61</v>
      </c>
      <c r="AA66" s="356">
        <v>226.58</v>
      </c>
      <c r="AB66" s="93">
        <v>78744400</v>
      </c>
      <c r="AC66" s="238">
        <v>225.6</v>
      </c>
      <c r="AD66" s="2">
        <f t="shared" si="0"/>
        <v>1.1399999999999864</v>
      </c>
      <c r="AE66" s="134">
        <f t="shared" si="1"/>
        <v>5.9752073486132318E-3</v>
      </c>
    </row>
    <row r="67" spans="2:31" x14ac:dyDescent="0.25">
      <c r="B67" s="650"/>
      <c r="C67" s="649"/>
      <c r="D67" s="651"/>
      <c r="E67" s="651"/>
      <c r="F67" s="651"/>
      <c r="G67" s="651"/>
      <c r="H67" s="652"/>
      <c r="I67" s="651"/>
      <c r="W67" s="92">
        <v>42738</v>
      </c>
      <c r="X67" s="356">
        <v>225.04</v>
      </c>
      <c r="Y67" s="39">
        <v>225.83</v>
      </c>
      <c r="Z67" s="39">
        <v>223.88</v>
      </c>
      <c r="AA67" s="356">
        <v>225.24</v>
      </c>
      <c r="AB67" s="93">
        <v>91366500</v>
      </c>
      <c r="AC67" s="238">
        <v>224.26</v>
      </c>
      <c r="AD67" s="2">
        <f t="shared" si="0"/>
        <v>1.9500000000000171</v>
      </c>
      <c r="AE67" s="134">
        <f t="shared" si="1"/>
        <v>7.638389647735444E-3</v>
      </c>
    </row>
    <row r="68" spans="2:31" x14ac:dyDescent="0.25">
      <c r="B68" s="650"/>
      <c r="C68" s="649"/>
      <c r="D68" s="651"/>
      <c r="E68" s="651"/>
      <c r="F68" s="651"/>
      <c r="G68" s="651"/>
      <c r="H68" s="652"/>
      <c r="I68" s="651"/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8">
        <v>222.56</v>
      </c>
      <c r="AD68" s="2">
        <f>Y68-Z68</f>
        <v>2.1000000000000227</v>
      </c>
      <c r="AE68" s="134" t="e">
        <f>AC68/AC69-1</f>
        <v>#DIV/0!</v>
      </c>
    </row>
    <row r="69" spans="2:31" x14ac:dyDescent="0.25">
      <c r="B69" s="650"/>
      <c r="C69" s="649"/>
      <c r="D69" s="651"/>
      <c r="E69" s="651"/>
      <c r="F69" s="651"/>
      <c r="G69" s="651"/>
      <c r="H69" s="652"/>
      <c r="I69" s="651"/>
      <c r="W69" s="210" t="s">
        <v>120</v>
      </c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650"/>
      <c r="C70" s="649"/>
      <c r="D70" s="651"/>
      <c r="E70" s="651"/>
      <c r="F70" s="651"/>
      <c r="G70" s="651"/>
      <c r="H70" s="652"/>
      <c r="I70" s="651"/>
    </row>
    <row r="71" spans="2:31" x14ac:dyDescent="0.25">
      <c r="B71" s="650"/>
      <c r="C71" s="649"/>
      <c r="D71" s="651"/>
      <c r="E71" s="651"/>
      <c r="F71" s="651"/>
      <c r="G71" s="651"/>
      <c r="H71" s="652"/>
      <c r="I71" s="651"/>
    </row>
    <row r="72" spans="2:31" x14ac:dyDescent="0.25">
      <c r="B72" s="650"/>
      <c r="C72" s="649"/>
      <c r="D72" s="651"/>
      <c r="E72" s="651"/>
      <c r="F72" s="651"/>
      <c r="G72" s="651"/>
      <c r="H72" s="652"/>
      <c r="I72" s="651"/>
    </row>
  </sheetData>
  <mergeCells count="1">
    <mergeCell ref="P39:Q39"/>
  </mergeCells>
  <conditionalFormatting sqref="F25:F27">
    <cfRule type="expression" dxfId="696" priority="31">
      <formula>F25&gt;0</formula>
    </cfRule>
    <cfRule type="expression" dxfId="695" priority="32">
      <formula>F25&lt;0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94" priority="23">
      <formula>F28&gt;0</formula>
    </cfRule>
    <cfRule type="expression" dxfId="693" priority="24">
      <formula>F28&lt;0</formula>
    </cfRule>
  </conditionalFormatting>
  <conditionalFormatting sqref="F28:F35">
    <cfRule type="expression" dxfId="692" priority="25">
      <formula>F28&gt;0</formula>
    </cfRule>
    <cfRule type="expression" dxfId="691" priority="26">
      <formula>F28&lt;0</formula>
    </cfRule>
  </conditionalFormatting>
  <conditionalFormatting sqref="H25:H35">
    <cfRule type="expression" dxfId="690" priority="21">
      <formula>H25&gt;0</formula>
    </cfRule>
    <cfRule type="expression" dxfId="689" priority="22">
      <formula>H25&lt;0</formula>
    </cfRule>
  </conditionalFormatting>
  <conditionalFormatting sqref="F21:F24">
    <cfRule type="expression" dxfId="688" priority="19">
      <formula>F21&gt;0</formula>
    </cfRule>
    <cfRule type="expression" dxfId="687" priority="20">
      <formula>F21&lt;0</formula>
    </cfRule>
  </conditionalFormatting>
  <conditionalFormatting sqref="H21:H24">
    <cfRule type="expression" dxfId="686" priority="17">
      <formula>H21&gt;0</formula>
    </cfRule>
    <cfRule type="expression" dxfId="685" priority="18">
      <formula>H21&lt;0</formula>
    </cfRule>
  </conditionalFormatting>
  <conditionalFormatting sqref="Q8">
    <cfRule type="expression" dxfId="684" priority="13">
      <formula>Q8&gt;0</formula>
    </cfRule>
    <cfRule type="expression" dxfId="683" priority="14">
      <formula>Q8&lt;0</formula>
    </cfRule>
  </conditionalFormatting>
  <conditionalFormatting sqref="Q7">
    <cfRule type="expression" dxfId="682" priority="15">
      <formula>Q7&gt;0</formula>
    </cfRule>
    <cfRule type="expression" dxfId="681" priority="16">
      <formula>Q7&lt;0</formula>
    </cfRule>
  </conditionalFormatting>
  <conditionalFormatting sqref="F62:F64">
    <cfRule type="expression" dxfId="680" priority="11">
      <formula>F62&gt;0</formula>
    </cfRule>
    <cfRule type="expression" dxfId="679" priority="12">
      <formula>F62&lt;0</formula>
    </cfRule>
  </conditionalFormatting>
  <conditionalFormatting sqref="F65:F72">
    <cfRule type="expression" dxfId="678" priority="7">
      <formula>F65&gt;0</formula>
    </cfRule>
    <cfRule type="expression" dxfId="677" priority="8">
      <formula>F65&lt;0</formula>
    </cfRule>
  </conditionalFormatting>
  <conditionalFormatting sqref="F65:F72">
    <cfRule type="expression" dxfId="676" priority="9">
      <formula>F65&gt;0</formula>
    </cfRule>
    <cfRule type="expression" dxfId="675" priority="10">
      <formula>F65&lt;0</formula>
    </cfRule>
  </conditionalFormatting>
  <conditionalFormatting sqref="H62:H72">
    <cfRule type="expression" dxfId="674" priority="5">
      <formula>H62&gt;0</formula>
    </cfRule>
    <cfRule type="expression" dxfId="673" priority="6">
      <formula>H62&lt;0</formula>
    </cfRule>
  </conditionalFormatting>
  <conditionalFormatting sqref="F58:F61">
    <cfRule type="expression" dxfId="672" priority="3">
      <formula>F58&gt;0</formula>
    </cfRule>
    <cfRule type="expression" dxfId="671" priority="4">
      <formula>F58&lt;0</formula>
    </cfRule>
  </conditionalFormatting>
  <conditionalFormatting sqref="H58:H61">
    <cfRule type="expression" dxfId="670" priority="1">
      <formula>H58&gt;0</formula>
    </cfRule>
    <cfRule type="expression" dxfId="669" priority="2">
      <formula>H58&lt;0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94.68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94.68</v>
      </c>
      <c r="R4" s="487">
        <v>-4.3200000000000002E-2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104.14800000000001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103.20120000000001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102.25440000000002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101.30760000000001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100.36080000000001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99.414000000000016</v>
      </c>
      <c r="R42" s="81"/>
      <c r="T42" s="85" t="s">
        <v>99</v>
      </c>
      <c r="U42" s="127" t="s">
        <v>657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98.467200000000005</v>
      </c>
      <c r="R43" s="81"/>
      <c r="T43" s="85" t="s">
        <v>100</v>
      </c>
      <c r="U43" s="127" t="s">
        <v>658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97.520400000000009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96.573600000000013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95.626800000000003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94.68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93.733200000000011</v>
      </c>
      <c r="R48" s="81"/>
      <c r="T48" s="85" t="s">
        <v>104</v>
      </c>
      <c r="U48" s="127" t="s">
        <v>659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92.7864</v>
      </c>
      <c r="R49" s="81"/>
      <c r="T49" s="85" t="s">
        <v>105</v>
      </c>
      <c r="U49" s="127" t="s">
        <v>660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91.839600000000004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90.892800000000008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89.945999999999998</v>
      </c>
      <c r="R52" s="81"/>
      <c r="T52" s="85" t="s">
        <v>107</v>
      </c>
      <c r="U52" s="127" t="s">
        <v>661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88.999200000000002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88.052400000000006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87.10560000000001</v>
      </c>
      <c r="R55" s="81"/>
      <c r="T55" s="85" t="s">
        <v>108</v>
      </c>
      <c r="U55" s="127" t="s">
        <v>557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86.158800000000014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85.212000000000003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68" priority="29">
      <formula>F40&gt;0</formula>
    </cfRule>
    <cfRule type="expression" dxfId="667" priority="30">
      <formula>F40&lt;0</formula>
    </cfRule>
  </conditionalFormatting>
  <conditionalFormatting sqref="F40:F45">
    <cfRule type="expression" dxfId="666" priority="31">
      <formula>F40&gt;0</formula>
    </cfRule>
    <cfRule type="expression" dxfId="665" priority="32">
      <formula>F40&lt;0</formula>
    </cfRule>
  </conditionalFormatting>
  <conditionalFormatting sqref="H40:H45">
    <cfRule type="expression" dxfId="664" priority="27">
      <formula>H40&gt;0</formula>
    </cfRule>
    <cfRule type="expression" dxfId="663" priority="28">
      <formula>H40&lt;0</formula>
    </cfRule>
  </conditionalFormatting>
  <conditionalFormatting sqref="F23:F39">
    <cfRule type="expression" dxfId="662" priority="13">
      <formula>F23&gt;0</formula>
    </cfRule>
    <cfRule type="expression" dxfId="661" priority="14">
      <formula>F23&lt;0</formula>
    </cfRule>
  </conditionalFormatting>
  <conditionalFormatting sqref="H23:H39">
    <cfRule type="expression" dxfId="660" priority="11">
      <formula>H23&gt;0</formula>
    </cfRule>
    <cfRule type="expression" dxfId="659" priority="12">
      <formula>H23&lt;0</formula>
    </cfRule>
  </conditionalFormatting>
  <conditionalFormatting sqref="Q7">
    <cfRule type="expression" dxfId="658" priority="9">
      <formula>Q7&gt;0</formula>
    </cfRule>
    <cfRule type="expression" dxfId="657" priority="10">
      <formula>Q7&lt;0</formula>
    </cfRule>
  </conditionalFormatting>
  <conditionalFormatting sqref="Q8">
    <cfRule type="expression" dxfId="656" priority="7">
      <formula>Q8&gt;0</formula>
    </cfRule>
    <cfRule type="expression" dxfId="655" priority="8">
      <formula>Q8&lt;0</formula>
    </cfRule>
  </conditionalFormatting>
  <conditionalFormatting sqref="Q10">
    <cfRule type="expression" dxfId="654" priority="1">
      <formula>Q10&gt;0</formula>
    </cfRule>
    <cfRule type="expression" dxfId="65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77.17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77.17</v>
      </c>
      <c r="R4" s="487">
        <v>-1.6400000000000001E-2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84.887000000000015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84.115300000000005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83.343600000000009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82.571900000000014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81.800200000000004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81.028500000000008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80.256799999999998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79.485100000000003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78.713400000000007</v>
      </c>
      <c r="Q51" s="2"/>
      <c r="T51" s="106" t="s">
        <v>104</v>
      </c>
      <c r="U51" s="104" t="s">
        <v>662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77.941699999999997</v>
      </c>
      <c r="Q52" s="2"/>
      <c r="T52" s="106" t="s">
        <v>105</v>
      </c>
      <c r="U52" s="104" t="s">
        <v>663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77.17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76.398300000000006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75.626599999999996</v>
      </c>
      <c r="T55" s="106" t="s">
        <v>107</v>
      </c>
      <c r="U55" s="104" t="s">
        <v>664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74.854900000000001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74.083200000000005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73.311499999999995</v>
      </c>
      <c r="T58" s="106" t="s">
        <v>108</v>
      </c>
      <c r="U58" s="104" t="s">
        <v>539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72.5398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71.768100000000004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70.996400000000008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70.224699999999999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69.453000000000003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52" priority="39">
      <formula>Q12&gt;0</formula>
    </cfRule>
    <cfRule type="expression" dxfId="65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50" priority="33">
      <formula>F25&gt;0</formula>
    </cfRule>
    <cfRule type="expression" dxfId="649" priority="34">
      <formula>F25&lt;0</formula>
    </cfRule>
  </conditionalFormatting>
  <conditionalFormatting sqref="F30">
    <cfRule type="expression" dxfId="648" priority="31">
      <formula>F30&gt;0</formula>
    </cfRule>
    <cfRule type="expression" dxfId="647" priority="32">
      <formula>F30&lt;0</formula>
    </cfRule>
  </conditionalFormatting>
  <conditionalFormatting sqref="F31">
    <cfRule type="expression" dxfId="646" priority="29">
      <formula>F31&gt;0</formula>
    </cfRule>
    <cfRule type="expression" dxfId="645" priority="30">
      <formula>F31&lt;0</formula>
    </cfRule>
  </conditionalFormatting>
  <conditionalFormatting sqref="F32:F34">
    <cfRule type="expression" dxfId="644" priority="27">
      <formula>F32&gt;0</formula>
    </cfRule>
    <cfRule type="expression" dxfId="643" priority="28">
      <formula>F32&lt;0</formula>
    </cfRule>
  </conditionalFormatting>
  <conditionalFormatting sqref="H25:H29">
    <cfRule type="expression" dxfId="642" priority="25">
      <formula>H25&gt;0</formula>
    </cfRule>
    <cfRule type="expression" dxfId="641" priority="26">
      <formula>H25&lt;0</formula>
    </cfRule>
  </conditionalFormatting>
  <conditionalFormatting sqref="H30">
    <cfRule type="expression" dxfId="640" priority="23">
      <formula>H30&gt;0</formula>
    </cfRule>
    <cfRule type="expression" dxfId="639" priority="24">
      <formula>H30&lt;0</formula>
    </cfRule>
  </conditionalFormatting>
  <conditionalFormatting sqref="H31">
    <cfRule type="expression" dxfId="638" priority="21">
      <formula>H31&gt;0</formula>
    </cfRule>
    <cfRule type="expression" dxfId="637" priority="22">
      <formula>H31&lt;0</formula>
    </cfRule>
  </conditionalFormatting>
  <conditionalFormatting sqref="H32:H34">
    <cfRule type="expression" dxfId="636" priority="19">
      <formula>H32&gt;0</formula>
    </cfRule>
    <cfRule type="expression" dxfId="635" priority="20">
      <formula>H32&lt;0</formula>
    </cfRule>
  </conditionalFormatting>
  <conditionalFormatting sqref="F35">
    <cfRule type="expression" dxfId="634" priority="17">
      <formula>F35&gt;0</formula>
    </cfRule>
    <cfRule type="expression" dxfId="633" priority="18">
      <formula>F35&lt;0</formula>
    </cfRule>
  </conditionalFormatting>
  <conditionalFormatting sqref="H35">
    <cfRule type="expression" dxfId="632" priority="15">
      <formula>H35&gt;0</formula>
    </cfRule>
    <cfRule type="expression" dxfId="631" priority="16">
      <formula>H35&lt;0</formula>
    </cfRule>
  </conditionalFormatting>
  <conditionalFormatting sqref="F36">
    <cfRule type="expression" dxfId="630" priority="13">
      <formula>F36&gt;0</formula>
    </cfRule>
    <cfRule type="expression" dxfId="629" priority="14">
      <formula>F36&lt;0</formula>
    </cfRule>
  </conditionalFormatting>
  <conditionalFormatting sqref="H36">
    <cfRule type="expression" dxfId="628" priority="11">
      <formula>H36&gt;0</formula>
    </cfRule>
    <cfRule type="expression" dxfId="627" priority="12">
      <formula>H36&lt;0</formula>
    </cfRule>
  </conditionalFormatting>
  <conditionalFormatting sqref="H23:H24">
    <cfRule type="expression" dxfId="626" priority="5">
      <formula>H23&gt;0</formula>
    </cfRule>
    <cfRule type="expression" dxfId="625" priority="6">
      <formula>H23&lt;0</formula>
    </cfRule>
  </conditionalFormatting>
  <conditionalFormatting sqref="F23:F24">
    <cfRule type="expression" dxfId="624" priority="7">
      <formula>F23&gt;0</formula>
    </cfRule>
    <cfRule type="expression" dxfId="623" priority="8">
      <formula>F23&lt;0</formula>
    </cfRule>
  </conditionalFormatting>
  <conditionalFormatting sqref="Q7">
    <cfRule type="expression" dxfId="622" priority="3">
      <formula>Q7&gt;0</formula>
    </cfRule>
    <cfRule type="expression" dxfId="621" priority="4">
      <formula>Q7&lt;0</formula>
    </cfRule>
  </conditionalFormatting>
  <conditionalFormatting sqref="Q8">
    <cfRule type="expression" dxfId="620" priority="1">
      <formula>Q8&gt;0</formula>
    </cfRule>
    <cfRule type="expression" dxfId="61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6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58.16</v>
      </c>
      <c r="R4" s="487">
        <v>-9.2200000000000004E-2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6979.2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2217.7300000000014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613.14999999999964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9.6315611721554117E-2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2.6822558459422285E-2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829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918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:F31" si="20">C30*(E30-D30)</f>
        <v>1056.3519999999999</v>
      </c>
      <c r="G30" s="39">
        <f t="shared" ref="G30:G31" si="21">D30*C30</f>
        <v>4054.0480000000002</v>
      </c>
      <c r="H30" s="226">
        <f t="shared" ref="H30:H31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02" t="s">
        <v>78</v>
      </c>
      <c r="Q39" s="802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63.975999999999999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63.394399999999997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62.812800000000003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62.231200000000001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61.6496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61.067999999999998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60.486399999999996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59.904799999999994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59.3232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58.741599999999998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58.16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57.578399999999995</v>
      </c>
      <c r="R51" s="81"/>
      <c r="T51" s="85" t="s">
        <v>104</v>
      </c>
      <c r="U51" s="86" t="s">
        <v>665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56.996799999999993</v>
      </c>
      <c r="R52" s="81"/>
      <c r="T52" s="85" t="s">
        <v>105</v>
      </c>
      <c r="U52" s="86" t="s">
        <v>491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56.415199999999999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55.833599999999997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55.251999999999995</v>
      </c>
      <c r="R55" s="81"/>
      <c r="T55" s="85" t="s">
        <v>107</v>
      </c>
      <c r="U55" s="86" t="s">
        <v>666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54.670399999999994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54.088799999999999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53.507199999999997</v>
      </c>
      <c r="R58" s="81"/>
      <c r="T58" s="85" t="s">
        <v>108</v>
      </c>
      <c r="U58" s="86" t="s">
        <v>571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52.925599999999996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52.344000000000001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18" priority="55">
      <formula>Q8&gt;0</formula>
    </cfRule>
    <cfRule type="expression" dxfId="617" priority="56">
      <formula>Q8&lt;0</formula>
    </cfRule>
  </conditionalFormatting>
  <conditionalFormatting sqref="Q7">
    <cfRule type="expression" dxfId="616" priority="57">
      <formula>Q7&gt;0</formula>
    </cfRule>
    <cfRule type="expression" dxfId="615" priority="58">
      <formula>Q7&lt;0</formula>
    </cfRule>
  </conditionalFormatting>
  <conditionalFormatting sqref="M50">
    <cfRule type="expression" dxfId="614" priority="45">
      <formula>M50&gt;0</formula>
    </cfRule>
    <cfRule type="expression" dxfId="613" priority="46">
      <formula>M50&lt;0</formula>
    </cfRule>
  </conditionalFormatting>
  <conditionalFormatting sqref="M50">
    <cfRule type="expression" dxfId="612" priority="47">
      <formula>M50&gt;0</formula>
    </cfRule>
    <cfRule type="expression" dxfId="611" priority="48">
      <formula>M50&lt;0</formula>
    </cfRule>
  </conditionalFormatting>
  <conditionalFormatting sqref="F24:F31">
    <cfRule type="expression" dxfId="610" priority="33">
      <formula>F24&gt;0</formula>
    </cfRule>
    <cfRule type="expression" dxfId="609" priority="34">
      <formula>F24&lt;0</formula>
    </cfRule>
  </conditionalFormatting>
  <conditionalFormatting sqref="F24:F31">
    <cfRule type="expression" dxfId="608" priority="35">
      <formula>F24&gt;0</formula>
    </cfRule>
    <cfRule type="expression" dxfId="607" priority="36">
      <formula>F24&lt;0</formula>
    </cfRule>
  </conditionalFormatting>
  <conditionalFormatting sqref="H24:H31">
    <cfRule type="expression" dxfId="606" priority="31">
      <formula>H24&gt;0</formula>
    </cfRule>
    <cfRule type="expression" dxfId="605" priority="32">
      <formula>H24&lt;0</formula>
    </cfRule>
  </conditionalFormatting>
  <conditionalFormatting sqref="J27:J34">
    <cfRule type="expression" dxfId="604" priority="1">
      <formula>J27&gt;0</formula>
    </cfRule>
    <cfRule type="expression" dxfId="603" priority="2">
      <formula>J27&lt;0</formula>
    </cfRule>
  </conditionalFormatting>
  <conditionalFormatting sqref="J27:J34">
    <cfRule type="expression" dxfId="602" priority="3">
      <formula>J27&gt;0</formula>
    </cfRule>
    <cfRule type="expression" dxfId="601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48.46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48.46</v>
      </c>
      <c r="R4" s="487">
        <v>-1.2800000000000001E-2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02" t="s">
        <v>78</v>
      </c>
      <c r="Q39" s="80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53.306000000000004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52.821400000000004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52.336800000000004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51.852200000000003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51.367600000000003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50.883000000000003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50.398400000000002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49.913800000000002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49.429200000000002</v>
      </c>
      <c r="R48" s="81"/>
      <c r="T48" s="85" t="s">
        <v>104</v>
      </c>
      <c r="U48" s="86" t="s">
        <v>667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48.944600000000001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48.46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47.9754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47.4908</v>
      </c>
      <c r="R52" s="81"/>
      <c r="T52" s="85" t="s">
        <v>107</v>
      </c>
      <c r="U52" s="86" t="s">
        <v>668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47.0062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46.521599999999999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46.036999999999999</v>
      </c>
      <c r="R55" s="81"/>
      <c r="T55" s="85" t="s">
        <v>108</v>
      </c>
      <c r="U55" s="86" t="s">
        <v>529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45.552399999999999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45.067800000000005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44.583200000000005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44.098600000000005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43.614000000000004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600" priority="66">
      <formula>F22&gt;0</formula>
    </cfRule>
    <cfRule type="expression" dxfId="59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98" priority="53">
      <formula>F41&gt;0</formula>
    </cfRule>
    <cfRule type="expression" dxfId="597" priority="54">
      <formula>F41&lt;0</formula>
    </cfRule>
  </conditionalFormatting>
  <conditionalFormatting sqref="F41">
    <cfRule type="expression" dxfId="596" priority="57">
      <formula>F41&gt;0</formula>
    </cfRule>
    <cfRule type="expression" dxfId="595" priority="58">
      <formula>F41&lt;0</formula>
    </cfRule>
  </conditionalFormatting>
  <conditionalFormatting sqref="H41">
    <cfRule type="expression" dxfId="594" priority="35">
      <formula>H41&gt;0</formula>
    </cfRule>
    <cfRule type="expression" dxfId="593" priority="36">
      <formula>H41&lt;0</formula>
    </cfRule>
  </conditionalFormatting>
  <conditionalFormatting sqref="F89:F95">
    <cfRule type="expression" dxfId="592" priority="29">
      <formula>F89&gt;0</formula>
    </cfRule>
    <cfRule type="expression" dxfId="591" priority="30">
      <formula>F89&lt;0</formula>
    </cfRule>
  </conditionalFormatting>
  <conditionalFormatting sqref="F96:F110">
    <cfRule type="expression" dxfId="590" priority="25">
      <formula>F96&gt;0</formula>
    </cfRule>
    <cfRule type="expression" dxfId="589" priority="26">
      <formula>F96&lt;0</formula>
    </cfRule>
  </conditionalFormatting>
  <conditionalFormatting sqref="F96:F110">
    <cfRule type="expression" dxfId="588" priority="27">
      <formula>F96&gt;0</formula>
    </cfRule>
    <cfRule type="expression" dxfId="587" priority="28">
      <formula>F96&lt;0</formula>
    </cfRule>
  </conditionalFormatting>
  <conditionalFormatting sqref="H89:H100">
    <cfRule type="expression" dxfId="586" priority="23">
      <formula>H89&gt;0</formula>
    </cfRule>
    <cfRule type="expression" dxfId="585" priority="24">
      <formula>H89&lt;0</formula>
    </cfRule>
  </conditionalFormatting>
  <conditionalFormatting sqref="H101">
    <cfRule type="expression" dxfId="584" priority="21">
      <formula>H101&gt;0</formula>
    </cfRule>
    <cfRule type="expression" dxfId="583" priority="22">
      <formula>H101&lt;0</formula>
    </cfRule>
  </conditionalFormatting>
  <conditionalFormatting sqref="F111:F116">
    <cfRule type="expression" dxfId="582" priority="19">
      <formula>F111&gt;0</formula>
    </cfRule>
    <cfRule type="expression" dxfId="581" priority="20">
      <formula>F111&lt;0</formula>
    </cfRule>
  </conditionalFormatting>
  <conditionalFormatting sqref="H103:H116">
    <cfRule type="expression" dxfId="580" priority="17">
      <formula>H103&gt;0</formula>
    </cfRule>
    <cfRule type="expression" dxfId="579" priority="18">
      <formula>H103&lt;0</formula>
    </cfRule>
  </conditionalFormatting>
  <conditionalFormatting sqref="H102">
    <cfRule type="expression" dxfId="578" priority="15">
      <formula>H102&gt;0</formula>
    </cfRule>
    <cfRule type="expression" dxfId="577" priority="16">
      <formula>H102&lt;0</formula>
    </cfRule>
  </conditionalFormatting>
  <conditionalFormatting sqref="M42">
    <cfRule type="expression" dxfId="576" priority="13">
      <formula>M42&gt;0</formula>
    </cfRule>
    <cfRule type="expression" dxfId="575" priority="14">
      <formula>M42&lt;0</formula>
    </cfRule>
  </conditionalFormatting>
  <conditionalFormatting sqref="Q7">
    <cfRule type="expression" dxfId="574" priority="9">
      <formula>Q7&gt;0</formula>
    </cfRule>
    <cfRule type="expression" dxfId="573" priority="10">
      <formula>Q7&lt;0</formula>
    </cfRule>
  </conditionalFormatting>
  <conditionalFormatting sqref="Q8">
    <cfRule type="expression" dxfId="572" priority="7">
      <formula>Q8&gt;0</formula>
    </cfRule>
    <cfRule type="expression" dxfId="571" priority="8">
      <formula>Q8&lt;0</formula>
    </cfRule>
  </conditionalFormatting>
  <conditionalFormatting sqref="F117:F130 H117:H130">
    <cfRule type="expression" dxfId="570" priority="1">
      <formula>F117&gt;0</formula>
    </cfRule>
    <cfRule type="expression" dxfId="56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38.200000000000003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38.200000000000003</v>
      </c>
      <c r="R4" s="507">
        <v>-4.2799999999999998E-2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522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42.02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41.638000000000005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41.256000000000007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40.874000000000002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40.492000000000004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40.110000000000007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39.728000000000002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39.346000000000004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38.964000000000006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38.582000000000001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38.200000000000003</v>
      </c>
      <c r="W39" s="134"/>
    </row>
    <row r="40" spans="1:23" x14ac:dyDescent="0.25">
      <c r="O40" s="81">
        <v>0.99</v>
      </c>
      <c r="P40" s="81">
        <f t="shared" si="0"/>
        <v>37.818000000000005</v>
      </c>
      <c r="W40" s="134"/>
    </row>
    <row r="41" spans="1:23" x14ac:dyDescent="0.25">
      <c r="O41" s="81">
        <v>0.98</v>
      </c>
      <c r="P41" s="81">
        <f t="shared" si="0"/>
        <v>37.436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37.054000000000002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36.672000000000004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36.29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35.908000000000001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35.526000000000003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35.144000000000005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34.762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34.380000000000003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669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670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572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522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522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722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723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758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68" priority="84">
      <formula>F7&gt;0</formula>
    </cfRule>
    <cfRule type="expression" dxfId="567" priority="85">
      <formula>F7&lt;0</formula>
    </cfRule>
  </conditionalFormatting>
  <conditionalFormatting sqref="Q8">
    <cfRule type="expression" dxfId="566" priority="82">
      <formula>Q8&gt;0</formula>
    </cfRule>
    <cfRule type="expression" dxfId="565" priority="83">
      <formula>Q8&lt;0</formula>
    </cfRule>
  </conditionalFormatting>
  <conditionalFormatting sqref="F29:F36">
    <cfRule type="expression" dxfId="564" priority="62">
      <formula>F29&gt;0</formula>
    </cfRule>
    <cfRule type="expression" dxfId="563" priority="63">
      <formula>F29&lt;0</formula>
    </cfRule>
  </conditionalFormatting>
  <conditionalFormatting sqref="J32:J38">
    <cfRule type="expression" dxfId="562" priority="57">
      <formula>J32&gt;0</formula>
    </cfRule>
    <cfRule type="expression" dxfId="561" priority="58">
      <formula>J32&lt;0</formula>
    </cfRule>
  </conditionalFormatting>
  <conditionalFormatting sqref="M42">
    <cfRule type="expression" dxfId="560" priority="55">
      <formula>M42&gt;0</formula>
    </cfRule>
    <cfRule type="expression" dxfId="559" priority="56">
      <formula>M42&lt;0</formula>
    </cfRule>
  </conditionalFormatting>
  <conditionalFormatting sqref="F98:F134 H98:H134 H137:H142 F137:F142 F144:F153 H144:H153">
    <cfRule type="expression" dxfId="558" priority="53">
      <formula>F98&gt;0</formula>
    </cfRule>
    <cfRule type="expression" dxfId="557" priority="54">
      <formula>F98&lt;0</formula>
    </cfRule>
  </conditionalFormatting>
  <conditionalFormatting sqref="F90:F97">
    <cfRule type="expression" dxfId="556" priority="51">
      <formula>F90&gt;0</formula>
    </cfRule>
    <cfRule type="expression" dxfId="555" priority="52">
      <formula>F90&lt;0</formula>
    </cfRule>
  </conditionalFormatting>
  <conditionalFormatting sqref="H90:H97">
    <cfRule type="expression" dxfId="554" priority="49">
      <formula>H90&gt;0</formula>
    </cfRule>
    <cfRule type="expression" dxfId="553" priority="50">
      <formula>H90&lt;0</formula>
    </cfRule>
  </conditionalFormatting>
  <conditionalFormatting sqref="F135:F136 H135:H136">
    <cfRule type="expression" dxfId="552" priority="47">
      <formula>F135&gt;0</formula>
    </cfRule>
    <cfRule type="expression" dxfId="551" priority="48">
      <formula>F135&lt;0</formula>
    </cfRule>
  </conditionalFormatting>
  <conditionalFormatting sqref="H143 F143">
    <cfRule type="expression" dxfId="550" priority="45">
      <formula>F143&gt;0</formula>
    </cfRule>
    <cfRule type="expression" dxfId="549" priority="46">
      <formula>F143&lt;0</formula>
    </cfRule>
  </conditionalFormatting>
  <conditionalFormatting sqref="F154:F161">
    <cfRule type="expression" dxfId="548" priority="31">
      <formula>F154&gt;0</formula>
    </cfRule>
    <cfRule type="expression" dxfId="547" priority="32">
      <formula>F154&lt;0</formula>
    </cfRule>
  </conditionalFormatting>
  <conditionalFormatting sqref="H154:H161">
    <cfRule type="expression" dxfId="546" priority="29">
      <formula>H154&gt;0</formula>
    </cfRule>
    <cfRule type="expression" dxfId="545" priority="30">
      <formula>H154&lt;0</formula>
    </cfRule>
  </conditionalFormatting>
  <conditionalFormatting sqref="Q10">
    <cfRule type="expression" dxfId="544" priority="27">
      <formula>Q10&gt;0</formula>
    </cfRule>
    <cfRule type="expression" dxfId="543" priority="28">
      <formula>Q10&lt;0</formula>
    </cfRule>
  </conditionalFormatting>
  <conditionalFormatting sqref="F37:F38">
    <cfRule type="expression" dxfId="542" priority="25">
      <formula>F37&gt;0</formula>
    </cfRule>
    <cfRule type="expression" dxfId="541" priority="26">
      <formula>F37&lt;0</formula>
    </cfRule>
  </conditionalFormatting>
  <conditionalFormatting sqref="H37:H38">
    <cfRule type="expression" dxfId="540" priority="23">
      <formula>H37&gt;0</formula>
    </cfRule>
    <cfRule type="expression" dxfId="539" priority="24">
      <formula>H37&lt;0</formula>
    </cfRule>
  </conditionalFormatting>
  <conditionalFormatting sqref="F167">
    <cfRule type="expression" dxfId="538" priority="21">
      <formula>F167&gt;0</formula>
    </cfRule>
    <cfRule type="expression" dxfId="537" priority="22">
      <formula>F167&lt;0</formula>
    </cfRule>
  </conditionalFormatting>
  <conditionalFormatting sqref="F168:F179">
    <cfRule type="expression" dxfId="536" priority="19">
      <formula>F168&gt;0</formula>
    </cfRule>
    <cfRule type="expression" dxfId="535" priority="20">
      <formula>F168&lt;0</formula>
    </cfRule>
  </conditionalFormatting>
  <conditionalFormatting sqref="H167:H179">
    <cfRule type="expression" dxfId="534" priority="17">
      <formula>H167&gt;0</formula>
    </cfRule>
    <cfRule type="expression" dxfId="533" priority="18">
      <formula>H167&lt;0</formula>
    </cfRule>
  </conditionalFormatting>
  <conditionalFormatting sqref="J175:J197 J201">
    <cfRule type="expression" dxfId="532" priority="15">
      <formula>J175&gt;0</formula>
    </cfRule>
    <cfRule type="expression" dxfId="531" priority="16">
      <formula>J175&lt;0</formula>
    </cfRule>
  </conditionalFormatting>
  <conditionalFormatting sqref="F180:F197 F201">
    <cfRule type="expression" dxfId="530" priority="13">
      <formula>F180&gt;0</formula>
    </cfRule>
    <cfRule type="expression" dxfId="529" priority="14">
      <formula>F180&lt;0</formula>
    </cfRule>
  </conditionalFormatting>
  <conditionalFormatting sqref="H180:H197 H201">
    <cfRule type="expression" dxfId="528" priority="11">
      <formula>H180&gt;0</formula>
    </cfRule>
    <cfRule type="expression" dxfId="527" priority="12">
      <formula>H180&lt;0</formula>
    </cfRule>
  </conditionalFormatting>
  <conditionalFormatting sqref="I32:J35">
    <cfRule type="expression" dxfId="526" priority="9">
      <formula>I32&gt;0</formula>
    </cfRule>
    <cfRule type="expression" dxfId="525" priority="10">
      <formula>I32&lt;0</formula>
    </cfRule>
  </conditionalFormatting>
  <conditionalFormatting sqref="F198:F200">
    <cfRule type="expression" dxfId="524" priority="7">
      <formula>F198&gt;0</formula>
    </cfRule>
    <cfRule type="expression" dxfId="523" priority="8">
      <formula>F198&lt;0</formula>
    </cfRule>
  </conditionalFormatting>
  <conditionalFormatting sqref="H198:H200">
    <cfRule type="expression" dxfId="522" priority="5">
      <formula>H198&gt;0</formula>
    </cfRule>
    <cfRule type="expression" dxfId="521" priority="6">
      <formula>H198&lt;0</formula>
    </cfRule>
  </conditionalFormatting>
  <conditionalFormatting sqref="J198:J200">
    <cfRule type="expression" dxfId="520" priority="3">
      <formula>J198&gt;0</formula>
    </cfRule>
    <cfRule type="expression" dxfId="519" priority="4">
      <formula>J198&lt;0</formula>
    </cfRule>
  </conditionalFormatting>
  <conditionalFormatting sqref="F202:F211 H202:H211 J202:J211">
    <cfRule type="expression" dxfId="518" priority="1">
      <formula>F202&gt;0</formula>
    </cfRule>
    <cfRule type="expression" dxfId="51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92" activePane="bottomLeft" state="frozen"/>
      <selection activeCell="A2" sqref="A2"/>
      <selection pane="bottomLeft" activeCell="O73" sqref="O7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6"/>
      <c r="C2" s="767"/>
      <c r="D2" s="768"/>
      <c r="E2" s="768"/>
      <c r="F2" s="768"/>
      <c r="G2" s="766"/>
      <c r="H2" s="767"/>
      <c r="I2" s="768"/>
      <c r="J2" s="768"/>
      <c r="K2" s="768"/>
      <c r="L2" s="769"/>
      <c r="M2" s="768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70.77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70.77</v>
      </c>
      <c r="R4" s="507">
        <v>-2.9899999999999999E-2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738</v>
      </c>
      <c r="Q15" s="694" t="s">
        <v>739</v>
      </c>
      <c r="R15" s="692" t="s">
        <v>732</v>
      </c>
      <c r="S15" s="692" t="s">
        <v>733</v>
      </c>
      <c r="T15" s="694" t="s">
        <v>735</v>
      </c>
      <c r="U15" s="694" t="s">
        <v>736</v>
      </c>
      <c r="V15" s="692" t="s">
        <v>734</v>
      </c>
      <c r="W15" s="693" t="s">
        <v>737</v>
      </c>
    </row>
    <row r="16" spans="1:23" x14ac:dyDescent="0.25">
      <c r="G16" s="29"/>
      <c r="H16" s="70"/>
      <c r="O16" s="695">
        <v>42963</v>
      </c>
      <c r="P16" s="691" t="s">
        <v>740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743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02" t="s">
        <v>78</v>
      </c>
      <c r="P40" s="802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77.847000000000008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77.139300000000006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76.431600000000003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75.7239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75.016199999999998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74.308499999999995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73.600799999999992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72.893100000000004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72.185400000000001</v>
      </c>
      <c r="Q49" s="2"/>
      <c r="T49" s="91" t="s">
        <v>103</v>
      </c>
      <c r="U49" s="127" t="s">
        <v>498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71.477699999999999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70.77</v>
      </c>
      <c r="Q51" s="2"/>
      <c r="T51" s="91" t="s">
        <v>104</v>
      </c>
      <c r="U51" s="127" t="s">
        <v>671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70.062299999999993</v>
      </c>
      <c r="Q52" s="2"/>
      <c r="T52" s="91" t="s">
        <v>105</v>
      </c>
      <c r="U52" s="127" t="s">
        <v>672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69.354599999999991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68.646899999999988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67.9392</v>
      </c>
      <c r="T55" s="91" t="s">
        <v>107</v>
      </c>
      <c r="U55" s="127" t="s">
        <v>673</v>
      </c>
    </row>
    <row r="56" spans="1:21" x14ac:dyDescent="0.25">
      <c r="O56" s="81">
        <v>0.95</v>
      </c>
      <c r="P56" s="81">
        <f t="shared" si="0"/>
        <v>67.231499999999997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66.523799999999994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65.816100000000006</v>
      </c>
      <c r="T58" s="91" t="s">
        <v>108</v>
      </c>
      <c r="U58" s="127" t="s">
        <v>573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65.108400000000003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64.400700000000001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63.692999999999998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16" priority="76">
      <formula>Q7&gt;0</formula>
    </cfRule>
    <cfRule type="expression" dxfId="515" priority="77">
      <formula>Q7&lt;0</formula>
    </cfRule>
  </conditionalFormatting>
  <conditionalFormatting sqref="Q8">
    <cfRule type="expression" dxfId="514" priority="74">
      <formula>Q8&gt;0</formula>
    </cfRule>
    <cfRule type="expression" dxfId="513" priority="75">
      <formula>Q8&lt;0</formula>
    </cfRule>
  </conditionalFormatting>
  <conditionalFormatting sqref="F29:F43">
    <cfRule type="expression" dxfId="512" priority="58">
      <formula>F29&gt;0</formula>
    </cfRule>
    <cfRule type="expression" dxfId="511" priority="59">
      <formula>F29&lt;0</formula>
    </cfRule>
  </conditionalFormatting>
  <conditionalFormatting sqref="H45 H47:H48 H50:H51 H53 H29:H43">
    <cfRule type="expression" dxfId="510" priority="56">
      <formula>H29&gt;0</formula>
    </cfRule>
    <cfRule type="expression" dxfId="509" priority="57">
      <formula>H29&lt;0</formula>
    </cfRule>
  </conditionalFormatting>
  <conditionalFormatting sqref="J35">
    <cfRule type="expression" dxfId="508" priority="52">
      <formula>J35&gt;0</formula>
    </cfRule>
    <cfRule type="expression" dxfId="507" priority="53">
      <formula>J35&lt;0</formula>
    </cfRule>
  </conditionalFormatting>
  <conditionalFormatting sqref="J36:J37">
    <cfRule type="expression" dxfId="506" priority="50">
      <formula>J36&gt;0</formula>
    </cfRule>
    <cfRule type="expression" dxfId="505" priority="51">
      <formula>J36&lt;0</formula>
    </cfRule>
  </conditionalFormatting>
  <conditionalFormatting sqref="J38:J45 J48 J51">
    <cfRule type="expression" dxfId="504" priority="48">
      <formula>J38&gt;0</formula>
    </cfRule>
    <cfRule type="expression" dxfId="503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02" priority="45">
      <formula>M59&gt;0</formula>
    </cfRule>
    <cfRule type="expression" dxfId="501" priority="46">
      <formula>M59&lt;0</formula>
    </cfRule>
  </conditionalFormatting>
  <conditionalFormatting sqref="Q10">
    <cfRule type="expression" dxfId="500" priority="43">
      <formula>Q10&gt;0</formula>
    </cfRule>
    <cfRule type="expression" dxfId="499" priority="44">
      <formula>Q10&lt;0</formula>
    </cfRule>
  </conditionalFormatting>
  <conditionalFormatting sqref="F84:F103">
    <cfRule type="expression" dxfId="498" priority="41">
      <formula>F84&gt;0</formula>
    </cfRule>
    <cfRule type="expression" dxfId="497" priority="42">
      <formula>F84&lt;0</formula>
    </cfRule>
  </conditionalFormatting>
  <conditionalFormatting sqref="H107 H84:H103">
    <cfRule type="expression" dxfId="496" priority="39">
      <formula>H84&gt;0</formula>
    </cfRule>
    <cfRule type="expression" dxfId="495" priority="40">
      <formula>H84&lt;0</formula>
    </cfRule>
  </conditionalFormatting>
  <conditionalFormatting sqref="J89">
    <cfRule type="expression" dxfId="494" priority="37">
      <formula>J89&gt;0</formula>
    </cfRule>
    <cfRule type="expression" dxfId="493" priority="38">
      <formula>J89&lt;0</formula>
    </cfRule>
  </conditionalFormatting>
  <conditionalFormatting sqref="J90:J95">
    <cfRule type="expression" dxfId="492" priority="35">
      <formula>J90&gt;0</formula>
    </cfRule>
    <cfRule type="expression" dxfId="491" priority="36">
      <formula>J90&lt;0</formula>
    </cfRule>
  </conditionalFormatting>
  <conditionalFormatting sqref="J96:J97">
    <cfRule type="expression" dxfId="490" priority="33">
      <formula>J96&gt;0</formula>
    </cfRule>
    <cfRule type="expression" dxfId="489" priority="34">
      <formula>J96&lt;0</formula>
    </cfRule>
  </conditionalFormatting>
  <conditionalFormatting sqref="J98:J104">
    <cfRule type="expression" dxfId="488" priority="31">
      <formula>J98&gt;0</formula>
    </cfRule>
    <cfRule type="expression" dxfId="487" priority="32">
      <formula>J98&lt;0</formula>
    </cfRule>
  </conditionalFormatting>
  <conditionalFormatting sqref="J25">
    <cfRule type="expression" dxfId="486" priority="27">
      <formula>J25&gt;0</formula>
    </cfRule>
    <cfRule type="expression" dxfId="485" priority="28">
      <formula>J25&lt;0</formula>
    </cfRule>
  </conditionalFormatting>
  <conditionalFormatting sqref="F105:F106">
    <cfRule type="expression" dxfId="484" priority="25">
      <formula>F105&gt;0</formula>
    </cfRule>
    <cfRule type="expression" dxfId="483" priority="26">
      <formula>F105&lt;0</formula>
    </cfRule>
  </conditionalFormatting>
  <conditionalFormatting sqref="H105:H106">
    <cfRule type="expression" dxfId="482" priority="23">
      <formula>H105&gt;0</formula>
    </cfRule>
    <cfRule type="expression" dxfId="481" priority="24">
      <formula>H105&lt;0</formula>
    </cfRule>
  </conditionalFormatting>
  <conditionalFormatting sqref="J105">
    <cfRule type="expression" dxfId="480" priority="21">
      <formula>J105&gt;0</formula>
    </cfRule>
    <cfRule type="expression" dxfId="479" priority="22">
      <formula>J105&lt;0</formula>
    </cfRule>
  </conditionalFormatting>
  <conditionalFormatting sqref="J106">
    <cfRule type="expression" dxfId="478" priority="19">
      <formula>J106&gt;0</formula>
    </cfRule>
    <cfRule type="expression" dxfId="477" priority="20">
      <formula>J106&lt;0</formula>
    </cfRule>
  </conditionalFormatting>
  <conditionalFormatting sqref="F24:F28">
    <cfRule type="expression" dxfId="476" priority="17">
      <formula>F24&gt;0</formula>
    </cfRule>
    <cfRule type="expression" dxfId="475" priority="18">
      <formula>F24&lt;0</formula>
    </cfRule>
  </conditionalFormatting>
  <conditionalFormatting sqref="H24:H28">
    <cfRule type="expression" dxfId="474" priority="15">
      <formula>H24&gt;0</formula>
    </cfRule>
    <cfRule type="expression" dxfId="473" priority="16">
      <formula>H24&lt;0</formula>
    </cfRule>
  </conditionalFormatting>
  <conditionalFormatting sqref="J26:J34">
    <cfRule type="expression" dxfId="472" priority="13">
      <formula>J26&gt;0</formula>
    </cfRule>
    <cfRule type="expression" dxfId="471" priority="14">
      <formula>J26&lt;0</formula>
    </cfRule>
  </conditionalFormatting>
  <conditionalFormatting sqref="F113">
    <cfRule type="expression" dxfId="470" priority="11">
      <formula>F113&gt;0</formula>
    </cfRule>
    <cfRule type="expression" dxfId="469" priority="12">
      <formula>F113&lt;0</formula>
    </cfRule>
  </conditionalFormatting>
  <conditionalFormatting sqref="H113">
    <cfRule type="expression" dxfId="468" priority="9">
      <formula>H113&gt;0</formula>
    </cfRule>
    <cfRule type="expression" dxfId="467" priority="10">
      <formula>H113&lt;0</formula>
    </cfRule>
  </conditionalFormatting>
  <conditionalFormatting sqref="J109">
    <cfRule type="expression" dxfId="466" priority="7">
      <formula>J109&gt;0</formula>
    </cfRule>
    <cfRule type="expression" dxfId="465" priority="8">
      <formula>J109&lt;0</formula>
    </cfRule>
  </conditionalFormatting>
  <conditionalFormatting sqref="F108:F112">
    <cfRule type="expression" dxfId="464" priority="5">
      <formula>F108&gt;0</formula>
    </cfRule>
    <cfRule type="expression" dxfId="463" priority="6">
      <formula>F108&lt;0</formula>
    </cfRule>
  </conditionalFormatting>
  <conditionalFormatting sqref="H108:H112">
    <cfRule type="expression" dxfId="462" priority="3">
      <formula>H108&gt;0</formula>
    </cfRule>
    <cfRule type="expression" dxfId="461" priority="4">
      <formula>H108&lt;0</formula>
    </cfRule>
  </conditionalFormatting>
  <conditionalFormatting sqref="J110:J113">
    <cfRule type="expression" dxfId="460" priority="1">
      <formula>J110&gt;0</formula>
    </cfRule>
    <cfRule type="expression" dxfId="459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26.12</v>
      </c>
      <c r="R4" s="487">
        <v>-6.6500000000000004E-2</v>
      </c>
      <c r="T4" s="1">
        <v>43096</v>
      </c>
      <c r="U4" t="s">
        <v>846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7313.6</v>
      </c>
      <c r="U5" t="s">
        <v>847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848</v>
      </c>
    </row>
    <row r="7" spans="1:29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5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-3185.7099999999941</v>
      </c>
      <c r="R7">
        <v>100</v>
      </c>
      <c r="U7" t="s">
        <v>849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5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-3260.7299999999941</v>
      </c>
      <c r="U8" t="s">
        <v>850</v>
      </c>
    </row>
    <row r="9" spans="1:29" x14ac:dyDescent="0.25">
      <c r="B9" s="445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O9" s="11" t="s">
        <v>210</v>
      </c>
      <c r="Q9" s="134">
        <f>IF(Q2=0, 0, Q8/Q6)</f>
        <v>-0.30836279934520633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898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3.5222052067381319E-2</v>
      </c>
      <c r="R11">
        <f>0.23</f>
        <v>0.23</v>
      </c>
      <c r="U11" t="s">
        <v>900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929</v>
      </c>
    </row>
    <row r="13" spans="1:29" x14ac:dyDescent="0.25">
      <c r="B13" s="445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925</v>
      </c>
    </row>
    <row r="14" spans="1:29" x14ac:dyDescent="0.25">
      <c r="B14" s="486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926</v>
      </c>
    </row>
    <row r="15" spans="1:29" x14ac:dyDescent="0.25">
      <c r="C15" s="4"/>
      <c r="D15" s="3"/>
      <c r="E15" s="3"/>
      <c r="F15" s="3"/>
      <c r="U15" s="487" t="s">
        <v>928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966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981</v>
      </c>
    </row>
    <row r="20" spans="1:21" x14ac:dyDescent="0.25">
      <c r="T20" s="1">
        <v>43126</v>
      </c>
      <c r="U20" t="s">
        <v>979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516</v>
      </c>
      <c r="U21" t="s">
        <v>980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983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927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839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899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924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28.732000000000003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2">O44*$Q$4</f>
        <v>28.470800000000004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2"/>
        <v>28.209600000000002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2"/>
        <v>27.948400000000003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2"/>
        <v>27.687200000000001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2"/>
        <v>27.426000000000002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2"/>
        <v>27.164800000000003</v>
      </c>
      <c r="Q49" s="81"/>
      <c r="R49" s="33"/>
      <c r="T49" s="91" t="s">
        <v>103</v>
      </c>
      <c r="U49" s="86" t="s">
        <v>574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2"/>
        <v>26.903600000000001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2"/>
        <v>26.642400000000002</v>
      </c>
      <c r="Q51" s="81"/>
      <c r="R51" s="33"/>
      <c r="T51" s="91" t="s">
        <v>104</v>
      </c>
      <c r="U51" s="86" t="s">
        <v>674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2"/>
        <v>26.3812</v>
      </c>
      <c r="Q52" s="81"/>
      <c r="R52" s="33"/>
      <c r="T52" s="91" t="s">
        <v>105</v>
      </c>
      <c r="U52" s="86" t="s">
        <v>548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2"/>
        <v>26.12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2"/>
        <v>25.858800000000002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2"/>
        <v>25.5976</v>
      </c>
      <c r="Q55" s="81"/>
      <c r="T55" s="91" t="s">
        <v>107</v>
      </c>
      <c r="U55" s="86" t="s">
        <v>675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2"/>
        <v>25.336400000000001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2"/>
        <v>25.075199999999999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2"/>
        <v>24.814</v>
      </c>
      <c r="Q58" s="81"/>
      <c r="T58" s="91" t="s">
        <v>108</v>
      </c>
      <c r="U58" s="86" t="s">
        <v>575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2"/>
        <v>24.552800000000001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2"/>
        <v>24.291600000000003</v>
      </c>
      <c r="Q60" s="81"/>
    </row>
    <row r="61" spans="1:21" x14ac:dyDescent="0.25">
      <c r="G61" s="2"/>
      <c r="O61" s="81">
        <v>0.92</v>
      </c>
      <c r="P61" s="81">
        <f t="shared" si="12"/>
        <v>24.0304</v>
      </c>
      <c r="Q61" s="81"/>
    </row>
    <row r="62" spans="1:21" x14ac:dyDescent="0.25">
      <c r="O62" s="81">
        <v>0.91</v>
      </c>
      <c r="P62" s="81">
        <f t="shared" si="12"/>
        <v>23.769200000000001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2"/>
        <v>23.508000000000003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3">C67*(E67-D67)</f>
        <v>-94.799999999999898</v>
      </c>
      <c r="G67" s="255">
        <f t="shared" ref="G67:G73" si="14">D67*C67</f>
        <v>2401.8000000000002</v>
      </c>
      <c r="H67" s="269">
        <f t="shared" ref="H67:H73" si="15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3"/>
        <v>-86.100000000000136</v>
      </c>
      <c r="G68" s="255">
        <f t="shared" si="14"/>
        <v>1239.3000000000002</v>
      </c>
      <c r="H68" s="267">
        <f t="shared" si="15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3"/>
        <v>-54.000000000000128</v>
      </c>
      <c r="G69" s="255">
        <f t="shared" si="14"/>
        <v>1239.3000000000002</v>
      </c>
      <c r="H69" s="267">
        <f t="shared" si="15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3"/>
        <v>-29.849999999999923</v>
      </c>
      <c r="G70" s="255">
        <f t="shared" si="14"/>
        <v>1239.1500000000001</v>
      </c>
      <c r="H70" s="267">
        <f t="shared" si="15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3"/>
        <v>-9.7500000000000853</v>
      </c>
      <c r="G71" s="255">
        <f t="shared" si="14"/>
        <v>1239.1500000000001</v>
      </c>
      <c r="H71" s="267">
        <f t="shared" si="15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3"/>
        <v>-51.449999999999889</v>
      </c>
      <c r="G72" s="255">
        <f t="shared" si="14"/>
        <v>1239.1500000000001</v>
      </c>
      <c r="H72" s="267">
        <f t="shared" si="15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3"/>
        <v>1.9499999999999318</v>
      </c>
      <c r="G73" s="255">
        <f t="shared" si="14"/>
        <v>1239.1500000000001</v>
      </c>
      <c r="H73" s="267">
        <f t="shared" si="15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47" priority="61">
      <formula>F26&gt;0</formula>
    </cfRule>
    <cfRule type="expression" dxfId="446" priority="62">
      <formula>F26&lt;0</formula>
    </cfRule>
  </conditionalFormatting>
  <conditionalFormatting sqref="H26:H28">
    <cfRule type="expression" dxfId="445" priority="59">
      <formula>H26&gt;0</formula>
    </cfRule>
    <cfRule type="expression" dxfId="444" priority="60">
      <formula>H26&lt;0</formula>
    </cfRule>
  </conditionalFormatting>
  <conditionalFormatting sqref="H29">
    <cfRule type="expression" dxfId="443" priority="57">
      <formula>H29&gt;0</formula>
    </cfRule>
    <cfRule type="expression" dxfId="442" priority="58">
      <formula>H29&lt;0</formula>
    </cfRule>
  </conditionalFormatting>
  <conditionalFormatting sqref="H30">
    <cfRule type="expression" dxfId="441" priority="55">
      <formula>H30&gt;0</formula>
    </cfRule>
    <cfRule type="expression" dxfId="440" priority="56">
      <formula>H30&lt;0</formula>
    </cfRule>
  </conditionalFormatting>
  <conditionalFormatting sqref="H31:H45">
    <cfRule type="expression" dxfId="439" priority="53">
      <formula>H31&gt;0</formula>
    </cfRule>
    <cfRule type="expression" dxfId="438" priority="54">
      <formula>H31&lt;0</formula>
    </cfRule>
  </conditionalFormatting>
  <conditionalFormatting sqref="F22:F25">
    <cfRule type="expression" dxfId="437" priority="51">
      <formula>F22&gt;0</formula>
    </cfRule>
    <cfRule type="expression" dxfId="436" priority="52">
      <formula>F22&lt;0</formula>
    </cfRule>
  </conditionalFormatting>
  <conditionalFormatting sqref="H22:H25">
    <cfRule type="expression" dxfId="435" priority="49">
      <formula>H22&gt;0</formula>
    </cfRule>
    <cfRule type="expression" dxfId="434" priority="50">
      <formula>H22&lt;0</formula>
    </cfRule>
  </conditionalFormatting>
  <conditionalFormatting sqref="F31:F32">
    <cfRule type="expression" dxfId="433" priority="45">
      <formula>F31&gt;0</formula>
    </cfRule>
    <cfRule type="expression" dxfId="432" priority="46">
      <formula>F31&lt;0</formula>
    </cfRule>
  </conditionalFormatting>
  <conditionalFormatting sqref="I26:J28">
    <cfRule type="expression" dxfId="431" priority="43">
      <formula>I26&gt;0</formula>
    </cfRule>
    <cfRule type="expression" dxfId="430" priority="44">
      <formula>I26&lt;0</formula>
    </cfRule>
  </conditionalFormatting>
  <conditionalFormatting sqref="I32:J33 I35:I40 I42:J45">
    <cfRule type="expression" dxfId="429" priority="37">
      <formula>I32&gt;0</formula>
    </cfRule>
    <cfRule type="expression" dxfId="428" priority="38">
      <formula>I32&lt;0</formula>
    </cfRule>
  </conditionalFormatting>
  <conditionalFormatting sqref="I22:J25">
    <cfRule type="expression" dxfId="427" priority="35">
      <formula>I22&gt;0</formula>
    </cfRule>
    <cfRule type="expression" dxfId="426" priority="36">
      <formula>I22&lt;0</formula>
    </cfRule>
  </conditionalFormatting>
  <conditionalFormatting sqref="F33:F41">
    <cfRule type="expression" dxfId="425" priority="33">
      <formula>F33&gt;0</formula>
    </cfRule>
    <cfRule type="expression" dxfId="424" priority="34">
      <formula>F33&lt;0</formula>
    </cfRule>
  </conditionalFormatting>
  <conditionalFormatting sqref="Q8">
    <cfRule type="expression" dxfId="423" priority="29">
      <formula>Q8&gt;0</formula>
    </cfRule>
    <cfRule type="expression" dxfId="422" priority="30">
      <formula>Q8&lt;0</formula>
    </cfRule>
  </conditionalFormatting>
  <conditionalFormatting sqref="Q7">
    <cfRule type="expression" dxfId="421" priority="31">
      <formula>Q7&gt;0</formula>
    </cfRule>
    <cfRule type="expression" dxfId="420" priority="32">
      <formula>Q7&lt;0</formula>
    </cfRule>
  </conditionalFormatting>
  <conditionalFormatting sqref="F68:F72">
    <cfRule type="expression" dxfId="419" priority="27">
      <formula>F68&gt;0</formula>
    </cfRule>
    <cfRule type="expression" dxfId="418" priority="28">
      <formula>F68&lt;0</formula>
    </cfRule>
  </conditionalFormatting>
  <conditionalFormatting sqref="H68:H70">
    <cfRule type="expression" dxfId="417" priority="25">
      <formula>H68&gt;0</formula>
    </cfRule>
    <cfRule type="expression" dxfId="416" priority="26">
      <formula>H68&lt;0</formula>
    </cfRule>
  </conditionalFormatting>
  <conditionalFormatting sqref="H71">
    <cfRule type="expression" dxfId="415" priority="23">
      <formula>H71&gt;0</formula>
    </cfRule>
    <cfRule type="expression" dxfId="414" priority="24">
      <formula>H71&lt;0</formula>
    </cfRule>
  </conditionalFormatting>
  <conditionalFormatting sqref="H72">
    <cfRule type="expression" dxfId="413" priority="21">
      <formula>H72&gt;0</formula>
    </cfRule>
    <cfRule type="expression" dxfId="412" priority="22">
      <formula>H72&lt;0</formula>
    </cfRule>
  </conditionalFormatting>
  <conditionalFormatting sqref="H73:H77">
    <cfRule type="expression" dxfId="411" priority="19">
      <formula>H73&gt;0</formula>
    </cfRule>
    <cfRule type="expression" dxfId="410" priority="20">
      <formula>H73&lt;0</formula>
    </cfRule>
  </conditionalFormatting>
  <conditionalFormatting sqref="F64:F67">
    <cfRule type="expression" dxfId="409" priority="17">
      <formula>F64&gt;0</formula>
    </cfRule>
    <cfRule type="expression" dxfId="408" priority="18">
      <formula>F64&lt;0</formula>
    </cfRule>
  </conditionalFormatting>
  <conditionalFormatting sqref="H64:H67">
    <cfRule type="expression" dxfId="407" priority="15">
      <formula>H64&gt;0</formula>
    </cfRule>
    <cfRule type="expression" dxfId="406" priority="16">
      <formula>H64&lt;0</formula>
    </cfRule>
  </conditionalFormatting>
  <conditionalFormatting sqref="F73:F74">
    <cfRule type="expression" dxfId="405" priority="13">
      <formula>F73&gt;0</formula>
    </cfRule>
    <cfRule type="expression" dxfId="404" priority="14">
      <formula>F73&lt;0</formula>
    </cfRule>
  </conditionalFormatting>
  <conditionalFormatting sqref="I68:I70">
    <cfRule type="expression" dxfId="403" priority="11">
      <formula>I68&gt;0</formula>
    </cfRule>
    <cfRule type="expression" dxfId="402" priority="12">
      <formula>I68&lt;0</formula>
    </cfRule>
  </conditionalFormatting>
  <conditionalFormatting sqref="I71">
    <cfRule type="expression" dxfId="401" priority="9">
      <formula>I71&gt;0</formula>
    </cfRule>
    <cfRule type="expression" dxfId="400" priority="10">
      <formula>I71&lt;0</formula>
    </cfRule>
  </conditionalFormatting>
  <conditionalFormatting sqref="I72">
    <cfRule type="expression" dxfId="399" priority="7">
      <formula>I72&gt;0</formula>
    </cfRule>
    <cfRule type="expression" dxfId="398" priority="8">
      <formula>I72&lt;0</formula>
    </cfRule>
  </conditionalFormatting>
  <conditionalFormatting sqref="I73:I77">
    <cfRule type="expression" dxfId="397" priority="5">
      <formula>I73&gt;0</formula>
    </cfRule>
    <cfRule type="expression" dxfId="396" priority="6">
      <formula>I73&lt;0</formula>
    </cfRule>
  </conditionalFormatting>
  <conditionalFormatting sqref="I64:I67">
    <cfRule type="expression" dxfId="395" priority="3">
      <formula>I64&gt;0</formula>
    </cfRule>
    <cfRule type="expression" dxfId="394" priority="4">
      <formula>I64&lt;0</formula>
    </cfRule>
  </conditionalFormatting>
  <conditionalFormatting sqref="F75">
    <cfRule type="expression" dxfId="393" priority="1">
      <formula>F75&gt;0</formula>
    </cfRule>
    <cfRule type="expression" dxfId="392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64.05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64.05</v>
      </c>
      <c r="R4" s="487">
        <v>-1.8700000000000001E-2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70.454999999999998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69.814499999999995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69.174000000000007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68.533500000000004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67.893000000000001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67.252499999999998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66.611999999999995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65.971499999999992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65.331000000000003</v>
      </c>
      <c r="Q51" s="81"/>
      <c r="R51" s="33"/>
      <c r="T51" s="91" t="s">
        <v>104</v>
      </c>
      <c r="U51" s="86" t="s">
        <v>676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64.6905</v>
      </c>
      <c r="Q52" s="81"/>
      <c r="R52" s="33"/>
      <c r="T52" s="91" t="s">
        <v>105</v>
      </c>
      <c r="U52" s="86" t="s">
        <v>519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64.05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63.409499999999994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62.768999999999998</v>
      </c>
      <c r="Q55" s="81"/>
      <c r="R55" s="33"/>
      <c r="T55" s="91" t="s">
        <v>107</v>
      </c>
      <c r="U55" s="86" t="s">
        <v>677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62.128499999999995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61.487999999999992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60.847499999999997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60.206999999999994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59.566499999999998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58.926000000000002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58.285499999999999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57.644999999999996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91" priority="11">
      <formula>Q8&gt;0</formula>
    </cfRule>
    <cfRule type="expression" dxfId="390" priority="12">
      <formula>Q8&lt;0</formula>
    </cfRule>
  </conditionalFormatting>
  <conditionalFormatting sqref="Q7">
    <cfRule type="expression" dxfId="389" priority="13">
      <formula>Q7&gt;0</formula>
    </cfRule>
    <cfRule type="expression" dxfId="388" priority="14">
      <formula>Q7&lt;0</formula>
    </cfRule>
  </conditionalFormatting>
  <conditionalFormatting sqref="F22">
    <cfRule type="expression" dxfId="387" priority="9">
      <formula>F22&gt;0</formula>
    </cfRule>
    <cfRule type="expression" dxfId="386" priority="10">
      <formula>F22&lt;0</formula>
    </cfRule>
  </conditionalFormatting>
  <conditionalFormatting sqref="H22">
    <cfRule type="expression" dxfId="385" priority="7">
      <formula>H22&gt;0</formula>
    </cfRule>
    <cfRule type="expression" dxfId="384" priority="8">
      <formula>H22&lt;0</formula>
    </cfRule>
  </conditionalFormatting>
  <conditionalFormatting sqref="F59">
    <cfRule type="expression" dxfId="383" priority="5">
      <formula>F59&gt;0</formula>
    </cfRule>
    <cfRule type="expression" dxfId="382" priority="6">
      <formula>F59&lt;0</formula>
    </cfRule>
  </conditionalFormatting>
  <conditionalFormatting sqref="H59">
    <cfRule type="expression" dxfId="381" priority="3">
      <formula>H59&gt;0</formula>
    </cfRule>
    <cfRule type="expression" dxfId="380" priority="4">
      <formula>H59&lt;0</formula>
    </cfRule>
  </conditionalFormatting>
  <conditionalFormatting sqref="M30">
    <cfRule type="expression" dxfId="379" priority="1">
      <formula>M30&gt;0</formula>
    </cfRule>
    <cfRule type="expression" dxfId="37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95.02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95.02</v>
      </c>
      <c r="R4" s="487">
        <v>-2.98E-2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02" t="s">
        <v>78</v>
      </c>
      <c r="P35" s="80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104.52200000000001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103.57180000000001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102.6216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101.67140000000001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100.7212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99.771000000000001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98.820800000000006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97.870599999999996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96.920400000000001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95.970199999999991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95.02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94.069800000000001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93.119599999999991</v>
      </c>
      <c r="Q48" s="2"/>
      <c r="T48" s="111" t="s">
        <v>104</v>
      </c>
      <c r="U48" s="104" t="s">
        <v>678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92.169399999999996</v>
      </c>
      <c r="T49" s="111" t="s">
        <v>105</v>
      </c>
      <c r="U49" s="104" t="s">
        <v>530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91.219199999999987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90.268999999999991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89.318799999999996</v>
      </c>
      <c r="T52" s="111" t="s">
        <v>107</v>
      </c>
      <c r="U52" s="104" t="s">
        <v>679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88.368600000000001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87.418400000000005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86.468199999999996</v>
      </c>
      <c r="T55" s="111" t="s">
        <v>108</v>
      </c>
      <c r="U55" s="104" t="s">
        <v>576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85.518000000000001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77" priority="19">
      <formula>F27&gt;0</formula>
    </cfRule>
    <cfRule type="expression" dxfId="376" priority="20">
      <formula>F27&lt;0</formula>
    </cfRule>
  </conditionalFormatting>
  <conditionalFormatting sqref="F37:F38">
    <cfRule type="expression" dxfId="375" priority="17">
      <formula>F37&gt;0</formula>
    </cfRule>
    <cfRule type="expression" dxfId="374" priority="18">
      <formula>F37&lt;0</formula>
    </cfRule>
  </conditionalFormatting>
  <conditionalFormatting sqref="H27:H32">
    <cfRule type="expression" dxfId="373" priority="15">
      <formula>H27&gt;0</formula>
    </cfRule>
    <cfRule type="expression" dxfId="372" priority="16">
      <formula>H27&lt;0</formula>
    </cfRule>
  </conditionalFormatting>
  <conditionalFormatting sqref="Q7">
    <cfRule type="expression" dxfId="371" priority="3">
      <formula>Q7&gt;0</formula>
    </cfRule>
    <cfRule type="expression" dxfId="370" priority="4">
      <formula>Q7&lt;0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138.61000000000001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138.61000000000001</v>
      </c>
      <c r="R4" s="487">
        <v>-4.4299999999999999E-2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152.47100000000003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151.08490000000003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149.69880000000003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148.31270000000004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146.92660000000001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145.54050000000001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144.15440000000001</v>
      </c>
      <c r="Q49" s="2"/>
      <c r="R49" s="33"/>
      <c r="T49" s="10" t="s">
        <v>103</v>
      </c>
      <c r="U49" s="86" t="s">
        <v>649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142.76830000000001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141.38220000000001</v>
      </c>
      <c r="Q51" s="2"/>
      <c r="R51" s="33"/>
      <c r="T51" s="10" t="s">
        <v>104</v>
      </c>
      <c r="U51" s="86" t="s">
        <v>650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139.99610000000001</v>
      </c>
      <c r="Q52" s="2"/>
      <c r="R52" s="33"/>
      <c r="T52" s="10" t="s">
        <v>105</v>
      </c>
      <c r="U52" s="86" t="s">
        <v>520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138.61000000000001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137.22390000000001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135.83780000000002</v>
      </c>
      <c r="Q55" s="2"/>
      <c r="R55" s="33"/>
      <c r="T55" s="10" t="s">
        <v>107</v>
      </c>
      <c r="U55" s="86" t="s">
        <v>651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134.45170000000002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133.06560000000002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131.67950000000002</v>
      </c>
      <c r="T58" s="10" t="s">
        <v>108</v>
      </c>
      <c r="U58" s="86" t="s">
        <v>569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130.29340000000002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128.90730000000002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127.52120000000002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126.13510000000002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124.74900000000001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67" priority="25">
      <formula>F24&gt;0</formula>
    </cfRule>
    <cfRule type="expression" dxfId="366" priority="26">
      <formula>F24&lt;0</formula>
    </cfRule>
  </conditionalFormatting>
  <conditionalFormatting sqref="H21:H27">
    <cfRule type="expression" dxfId="365" priority="19">
      <formula>H21&gt;0</formula>
    </cfRule>
    <cfRule type="expression" dxfId="364" priority="20">
      <formula>H21&lt;0</formula>
    </cfRule>
  </conditionalFormatting>
  <conditionalFormatting sqref="F21:F23">
    <cfRule type="expression" dxfId="363" priority="5">
      <formula>F21&gt;0</formula>
    </cfRule>
    <cfRule type="expression" dxfId="362" priority="6">
      <formula>F21&lt;0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228.1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228.1</v>
      </c>
      <c r="R4" s="487">
        <v>-3.1300000000000001E-2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0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0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0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0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02" t="s">
        <v>78</v>
      </c>
      <c r="P41" s="80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250.91000000000003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248.62900000000002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246.34800000000001</v>
      </c>
      <c r="Q44" s="2"/>
      <c r="T44" s="132" t="s">
        <v>99</v>
      </c>
      <c r="U44" s="86" t="s">
        <v>680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244.06700000000001</v>
      </c>
      <c r="Q45" s="2"/>
      <c r="T45" s="132" t="s">
        <v>100</v>
      </c>
      <c r="U45" s="86" t="s">
        <v>681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241.786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239.505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237.22399999999999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234.94300000000001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232.66200000000001</v>
      </c>
      <c r="Q50" s="2"/>
      <c r="T50" s="132" t="s">
        <v>104</v>
      </c>
      <c r="U50" s="86" t="s">
        <v>682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230.381</v>
      </c>
      <c r="Q51" s="2"/>
      <c r="T51" s="132" t="s">
        <v>105</v>
      </c>
      <c r="U51" s="86" t="s">
        <v>515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228.1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225.81899999999999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223.53799999999998</v>
      </c>
      <c r="Q54" s="2"/>
      <c r="T54" s="132" t="s">
        <v>107</v>
      </c>
      <c r="U54" s="86" t="s">
        <v>683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221.25699999999998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218.976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216.69499999999999</v>
      </c>
      <c r="T57" s="132" t="s">
        <v>108</v>
      </c>
      <c r="U57" s="86" t="s">
        <v>577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214.41399999999999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212.13300000000001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209.852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207.571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205.29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57" priority="11">
      <formula>F21&gt;0</formula>
    </cfRule>
    <cfRule type="expression" dxfId="356" priority="12">
      <formula>F21&lt;0</formula>
    </cfRule>
  </conditionalFormatting>
  <conditionalFormatting sqref="H21:H23">
    <cfRule type="expression" dxfId="355" priority="9">
      <formula>H21&gt;0</formula>
    </cfRule>
    <cfRule type="expression" dxfId="354" priority="10">
      <formula>H21&lt;0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63.4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63.4</v>
      </c>
      <c r="R4" s="487">
        <v>-3.4700000000000002E-2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02" t="s">
        <v>78</v>
      </c>
      <c r="P40" s="80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69.740000000000009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69.106000000000009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68.472000000000008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67.838000000000008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67.204000000000008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66.570000000000007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65.936000000000007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65.302000000000007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64.668000000000006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64.034000000000006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63.4</v>
      </c>
      <c r="Q51" s="2"/>
      <c r="T51" s="91" t="s">
        <v>104</v>
      </c>
      <c r="U51" s="86" t="s">
        <v>716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62.765999999999998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62.131999999999998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61.497999999999998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60.863999999999997</v>
      </c>
      <c r="T55" s="91" t="s">
        <v>107</v>
      </c>
      <c r="U55" s="86" t="s">
        <v>717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60.23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59.595999999999997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58.962000000000003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58.328000000000003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57.694000000000003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57.06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49" priority="15">
      <formula>F29&gt;0</formula>
    </cfRule>
    <cfRule type="expression" dxfId="348" priority="16">
      <formula>F29&lt;0</formula>
    </cfRule>
  </conditionalFormatting>
  <conditionalFormatting sqref="F34:F62">
    <cfRule type="expression" dxfId="347" priority="11">
      <formula>F34&gt;0</formula>
    </cfRule>
    <cfRule type="expression" dxfId="346" priority="12">
      <formula>F34&lt;0</formula>
    </cfRule>
  </conditionalFormatting>
  <conditionalFormatting sqref="F34:F62">
    <cfRule type="expression" dxfId="345" priority="13">
      <formula>F34&gt;0</formula>
    </cfRule>
    <cfRule type="expression" dxfId="344" priority="14">
      <formula>F34&lt;0</formula>
    </cfRule>
  </conditionalFormatting>
  <conditionalFormatting sqref="H29:H62">
    <cfRule type="expression" dxfId="343" priority="9">
      <formula>H29&gt;0</formula>
    </cfRule>
    <cfRule type="expression" dxfId="342" priority="10">
      <formula>H29&lt;0</formula>
    </cfRule>
  </conditionalFormatting>
  <conditionalFormatting sqref="F25:F28">
    <cfRule type="expression" dxfId="341" priority="7">
      <formula>F25&gt;0</formula>
    </cfRule>
    <cfRule type="expression" dxfId="340" priority="8">
      <formula>F25&lt;0</formula>
    </cfRule>
  </conditionalFormatting>
  <conditionalFormatting sqref="H25:H28">
    <cfRule type="expression" dxfId="339" priority="5">
      <formula>H25&gt;0</formula>
    </cfRule>
    <cfRule type="expression" dxfId="338" priority="6">
      <formula>H25&lt;0</formula>
    </cfRule>
  </conditionalFormatting>
  <conditionalFormatting sqref="Q7">
    <cfRule type="expression" dxfId="337" priority="3">
      <formula>Q7&gt;0</formula>
    </cfRule>
    <cfRule type="expression" dxfId="336" priority="4">
      <formula>Q7&lt;0</formula>
    </cfRule>
  </conditionalFormatting>
  <conditionalFormatting sqref="Q8">
    <cfRule type="expression" dxfId="335" priority="1">
      <formula>Q8&gt;0</formula>
    </cfRule>
    <cfRule type="expression" dxfId="33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64.34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64.34</v>
      </c>
      <c r="R4" s="506">
        <v>-4.6199999999999998E-2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2" t="s">
        <v>78</v>
      </c>
      <c r="P40" s="802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70.774000000000015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70.130600000000015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69.487200000000001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68.843800000000002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68.200400000000002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67.557000000000002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66.913600000000002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66.270200000000003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65.626800000000003</v>
      </c>
      <c r="Q49" s="2"/>
      <c r="T49" s="91" t="s">
        <v>103</v>
      </c>
      <c r="U49" s="86" t="s">
        <v>684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64.983400000000003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64.34</v>
      </c>
      <c r="Q51" s="2"/>
      <c r="T51" s="91" t="s">
        <v>104</v>
      </c>
      <c r="U51" s="86" t="s">
        <v>685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63.696600000000004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63.053200000000004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62.409800000000004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61.766400000000004</v>
      </c>
      <c r="T55" s="91" t="s">
        <v>107</v>
      </c>
      <c r="U55" s="86" t="s">
        <v>686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61.122999999999998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60.479599999999998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59.836200000000005</v>
      </c>
      <c r="T58" s="91" t="s">
        <v>108</v>
      </c>
      <c r="U58" s="86" t="s">
        <v>578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59.192800000000005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58.549400000000006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57.906000000000006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33" priority="73">
      <formula>F25&gt;0</formula>
    </cfRule>
    <cfRule type="expression" dxfId="332" priority="74">
      <formula>F25&lt;0</formula>
    </cfRule>
  </conditionalFormatting>
  <conditionalFormatting sqref="F57:F64 F66">
    <cfRule type="expression" dxfId="331" priority="69">
      <formula>F57&gt;0</formula>
    </cfRule>
    <cfRule type="expression" dxfId="330" priority="70">
      <formula>F57&lt;0</formula>
    </cfRule>
  </conditionalFormatting>
  <conditionalFormatting sqref="F57:F64 F66">
    <cfRule type="expression" dxfId="329" priority="71">
      <formula>F57&gt;0</formula>
    </cfRule>
    <cfRule type="expression" dxfId="328" priority="72">
      <formula>F57&lt;0</formula>
    </cfRule>
  </conditionalFormatting>
  <conditionalFormatting sqref="H57:H64 H66">
    <cfRule type="expression" dxfId="327" priority="67">
      <formula>H57&gt;0</formula>
    </cfRule>
    <cfRule type="expression" dxfId="326" priority="68">
      <formula>H57&lt;0</formula>
    </cfRule>
  </conditionalFormatting>
  <conditionalFormatting sqref="Q7">
    <cfRule type="expression" dxfId="325" priority="49">
      <formula>Q7&gt;0</formula>
    </cfRule>
    <cfRule type="expression" dxfId="324" priority="50">
      <formula>Q7&lt;0</formula>
    </cfRule>
  </conditionalFormatting>
  <conditionalFormatting sqref="Q8">
    <cfRule type="expression" dxfId="323" priority="47">
      <formula>Q8&gt;0</formula>
    </cfRule>
    <cfRule type="expression" dxfId="322" priority="48">
      <formula>Q8&lt;0</formula>
    </cfRule>
  </conditionalFormatting>
  <conditionalFormatting sqref="F24">
    <cfRule type="expression" dxfId="321" priority="33">
      <formula>F24&gt;0</formula>
    </cfRule>
    <cfRule type="expression" dxfId="320" priority="34">
      <formula>F24&lt;0</formula>
    </cfRule>
  </conditionalFormatting>
  <conditionalFormatting sqref="H24">
    <cfRule type="expression" dxfId="319" priority="31">
      <formula>H24&gt;0</formula>
    </cfRule>
    <cfRule type="expression" dxfId="318" priority="32">
      <formula>H24&lt;0</formula>
    </cfRule>
  </conditionalFormatting>
  <conditionalFormatting sqref="M67">
    <cfRule type="expression" dxfId="317" priority="29">
      <formula>M67&gt;0</formula>
    </cfRule>
    <cfRule type="expression" dxfId="316" priority="30">
      <formula>M67&lt;0</formula>
    </cfRule>
  </conditionalFormatting>
  <conditionalFormatting sqref="F65">
    <cfRule type="expression" dxfId="315" priority="25">
      <formula>F65&gt;0</formula>
    </cfRule>
    <cfRule type="expression" dxfId="314" priority="26">
      <formula>F65&lt;0</formula>
    </cfRule>
  </conditionalFormatting>
  <conditionalFormatting sqref="F65">
    <cfRule type="expression" dxfId="313" priority="27">
      <formula>F65&gt;0</formula>
    </cfRule>
    <cfRule type="expression" dxfId="312" priority="28">
      <formula>F65&lt;0</formula>
    </cfRule>
  </conditionalFormatting>
  <conditionalFormatting sqref="H65">
    <cfRule type="expression" dxfId="311" priority="23">
      <formula>H65&gt;0</formula>
    </cfRule>
    <cfRule type="expression" dxfId="310" priority="24">
      <formula>H65&lt;0</formula>
    </cfRule>
  </conditionalFormatting>
  <conditionalFormatting sqref="F93:F97 H93:H97 H99:H124 F99:F124">
    <cfRule type="expression" dxfId="309" priority="19">
      <formula>F93&gt;0</formula>
    </cfRule>
    <cfRule type="expression" dxfId="308" priority="20">
      <formula>F93&lt;0</formula>
    </cfRule>
  </conditionalFormatting>
  <conditionalFormatting sqref="F125:F132 F134">
    <cfRule type="expression" dxfId="307" priority="15">
      <formula>F125&gt;0</formula>
    </cfRule>
    <cfRule type="expression" dxfId="306" priority="16">
      <formula>F125&lt;0</formula>
    </cfRule>
  </conditionalFormatting>
  <conditionalFormatting sqref="F125:F132 F134">
    <cfRule type="expression" dxfId="305" priority="17">
      <formula>F125&gt;0</formula>
    </cfRule>
    <cfRule type="expression" dxfId="304" priority="18">
      <formula>F125&lt;0</formula>
    </cfRule>
  </conditionalFormatting>
  <conditionalFormatting sqref="H125:H132 H134">
    <cfRule type="expression" dxfId="303" priority="13">
      <formula>H125&gt;0</formula>
    </cfRule>
    <cfRule type="expression" dxfId="302" priority="14">
      <formula>H125&lt;0</formula>
    </cfRule>
  </conditionalFormatting>
  <conditionalFormatting sqref="F92">
    <cfRule type="expression" dxfId="301" priority="11">
      <formula>F92&gt;0</formula>
    </cfRule>
    <cfRule type="expression" dxfId="300" priority="12">
      <formula>F92&lt;0</formula>
    </cfRule>
  </conditionalFormatting>
  <conditionalFormatting sqref="H92">
    <cfRule type="expression" dxfId="299" priority="9">
      <formula>H92&gt;0</formula>
    </cfRule>
    <cfRule type="expression" dxfId="298" priority="10">
      <formula>H92&lt;0</formula>
    </cfRule>
  </conditionalFormatting>
  <conditionalFormatting sqref="F133">
    <cfRule type="expression" dxfId="297" priority="5">
      <formula>F133&gt;0</formula>
    </cfRule>
    <cfRule type="expression" dxfId="296" priority="6">
      <formula>F133&lt;0</formula>
    </cfRule>
  </conditionalFormatting>
  <conditionalFormatting sqref="F133">
    <cfRule type="expression" dxfId="295" priority="7">
      <formula>F133&gt;0</formula>
    </cfRule>
    <cfRule type="expression" dxfId="294" priority="8">
      <formula>F133&lt;0</formula>
    </cfRule>
  </conditionalFormatting>
  <conditionalFormatting sqref="H133">
    <cfRule type="expression" dxfId="293" priority="3">
      <formula>H133&gt;0</formula>
    </cfRule>
    <cfRule type="expression" dxfId="292" priority="4">
      <formula>H133&lt;0</formula>
    </cfRule>
  </conditionalFormatting>
  <conditionalFormatting sqref="F98 H98">
    <cfRule type="expression" dxfId="291" priority="1">
      <formula>F98&gt;0</formula>
    </cfRule>
    <cfRule type="expression" dxfId="29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52.52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52.52</v>
      </c>
      <c r="R4" s="508">
        <v>-3.8399999999999997E-2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0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2" t="s">
        <v>113</v>
      </c>
      <c r="C35" s="262" t="s">
        <v>146</v>
      </c>
      <c r="D35" s="263" t="s">
        <v>145</v>
      </c>
      <c r="E35" s="264" t="s">
        <v>147</v>
      </c>
      <c r="F35" s="264" t="s">
        <v>65</v>
      </c>
      <c r="G35" s="266" t="s">
        <v>151</v>
      </c>
      <c r="H35" s="266" t="s">
        <v>88</v>
      </c>
      <c r="I35" s="266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59">
        <v>42524</v>
      </c>
      <c r="C36" s="254">
        <v>200</v>
      </c>
      <c r="D36" s="516">
        <v>42.3598</v>
      </c>
      <c r="E36" s="255">
        <v>41.755000000000003</v>
      </c>
      <c r="F36" s="255">
        <f t="shared" ref="F36:F45" si="2">C36*(E36-D36)</f>
        <v>-120.95999999999947</v>
      </c>
      <c r="G36" s="255">
        <f>D36*C36</f>
        <v>8471.9599999999991</v>
      </c>
      <c r="H36" s="269">
        <f>(E36-D36)/D36</f>
        <v>-1.4277687807779955E-2</v>
      </c>
      <c r="I36" s="255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59">
        <v>42527</v>
      </c>
      <c r="C37" s="254">
        <v>200</v>
      </c>
      <c r="D37" s="255">
        <v>42.3598</v>
      </c>
      <c r="E37" s="255">
        <v>41.28</v>
      </c>
      <c r="F37" s="255">
        <f t="shared" si="2"/>
        <v>-215.95999999999975</v>
      </c>
      <c r="G37" s="255">
        <f>D37*C37</f>
        <v>8471.9599999999991</v>
      </c>
      <c r="H37" s="269">
        <f>(E37-D37)/D37</f>
        <v>-2.5491149627713039E-2</v>
      </c>
      <c r="I37" s="255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59">
        <v>42533</v>
      </c>
      <c r="C38" s="254">
        <v>200</v>
      </c>
      <c r="D38" s="255">
        <v>42.36</v>
      </c>
      <c r="E38" s="255">
        <v>42.04</v>
      </c>
      <c r="F38" s="255">
        <f t="shared" si="2"/>
        <v>-64.000000000000057</v>
      </c>
      <c r="G38" s="255">
        <f>D38*C38</f>
        <v>8472</v>
      </c>
      <c r="H38" s="269">
        <f>(E38-D38)/D38</f>
        <v>-7.5542965061378723E-3</v>
      </c>
      <c r="I38" s="255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59">
        <v>42534</v>
      </c>
      <c r="C39" s="254">
        <v>200</v>
      </c>
      <c r="D39" s="255">
        <v>42.3598</v>
      </c>
      <c r="E39" s="255">
        <v>40.57</v>
      </c>
      <c r="F39" s="255">
        <f t="shared" si="2"/>
        <v>-357.95999999999992</v>
      </c>
      <c r="G39" s="255">
        <f t="shared" ref="G39:G45" si="3">D39*C39</f>
        <v>8471.9599999999991</v>
      </c>
      <c r="H39" s="269">
        <f t="shared" ref="H39:H45" si="4">(E39-D39)/D39</f>
        <v>-4.2252324137507721E-2</v>
      </c>
      <c r="I39" s="255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59">
        <v>42535</v>
      </c>
      <c r="C40" s="254">
        <v>300</v>
      </c>
      <c r="D40" s="255">
        <v>41.523200000000003</v>
      </c>
      <c r="E40" s="255">
        <v>39.11</v>
      </c>
      <c r="F40" s="255">
        <f t="shared" si="2"/>
        <v>-723.96000000000095</v>
      </c>
      <c r="G40" s="255">
        <f t="shared" si="3"/>
        <v>12456.960000000001</v>
      </c>
      <c r="H40" s="269">
        <f t="shared" si="4"/>
        <v>-5.8116908138101185E-2</v>
      </c>
      <c r="I40" s="255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59">
        <v>42537</v>
      </c>
      <c r="C41" s="254">
        <v>400</v>
      </c>
      <c r="D41" s="255">
        <v>40.604900000000001</v>
      </c>
      <c r="E41" s="255">
        <v>38.020000000000003</v>
      </c>
      <c r="F41" s="255">
        <f t="shared" si="2"/>
        <v>-1033.9599999999991</v>
      </c>
      <c r="G41" s="255">
        <f t="shared" si="3"/>
        <v>16241.960000000001</v>
      </c>
      <c r="H41" s="269">
        <f t="shared" si="4"/>
        <v>-6.3659804604862896E-2</v>
      </c>
      <c r="I41" s="255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59">
        <v>42542</v>
      </c>
      <c r="C42" s="254">
        <v>400</v>
      </c>
      <c r="D42" s="255">
        <v>40.604900000000001</v>
      </c>
      <c r="E42" s="255">
        <v>38.67</v>
      </c>
      <c r="F42" s="255">
        <f t="shared" si="2"/>
        <v>-773.95999999999958</v>
      </c>
      <c r="G42" s="255">
        <f t="shared" si="3"/>
        <v>16241.960000000001</v>
      </c>
      <c r="H42" s="269">
        <f t="shared" si="4"/>
        <v>-4.7651884378486317E-2</v>
      </c>
      <c r="I42" s="255"/>
      <c r="O42" s="802" t="s">
        <v>78</v>
      </c>
      <c r="P42" s="802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59">
        <v>42545</v>
      </c>
      <c r="C43" s="254">
        <v>500</v>
      </c>
      <c r="D43" s="255">
        <v>39.685899999999997</v>
      </c>
      <c r="E43" s="255">
        <v>38.31</v>
      </c>
      <c r="F43" s="255">
        <f t="shared" si="2"/>
        <v>-687.9499999999972</v>
      </c>
      <c r="G43" s="255">
        <f t="shared" si="3"/>
        <v>19842.949999999997</v>
      </c>
      <c r="H43" s="269">
        <f t="shared" si="4"/>
        <v>-3.466974416606388E-2</v>
      </c>
      <c r="I43" s="255"/>
      <c r="O43" s="81">
        <v>1.1000000000000001</v>
      </c>
      <c r="P43" s="81">
        <f>O43*$Q$4</f>
        <v>57.772000000000006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59">
        <v>42545</v>
      </c>
      <c r="C44" s="254">
        <v>500</v>
      </c>
      <c r="D44" s="255">
        <v>39.487099999999998</v>
      </c>
      <c r="E44" s="255">
        <v>35.18</v>
      </c>
      <c r="F44" s="255">
        <f t="shared" si="2"/>
        <v>-2153.5499999999993</v>
      </c>
      <c r="G44" s="255">
        <f t="shared" si="3"/>
        <v>19743.55</v>
      </c>
      <c r="H44" s="269">
        <f t="shared" si="4"/>
        <v>-0.10907612865973948</v>
      </c>
      <c r="I44" s="255"/>
      <c r="O44" s="81">
        <v>1.0900000000000001</v>
      </c>
      <c r="P44" s="81">
        <f t="shared" ref="P44:P63" si="5">O44*$Q$4</f>
        <v>57.246800000000007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59">
        <v>42548</v>
      </c>
      <c r="C45" s="254">
        <v>600</v>
      </c>
      <c r="D45" s="255">
        <v>38.552599999999998</v>
      </c>
      <c r="E45" s="255">
        <v>33.36</v>
      </c>
      <c r="F45" s="255">
        <f t="shared" si="2"/>
        <v>-3115.5599999999995</v>
      </c>
      <c r="G45" s="255">
        <f t="shared" si="3"/>
        <v>23131.559999999998</v>
      </c>
      <c r="H45" s="269">
        <f t="shared" si="4"/>
        <v>-0.13468871100781787</v>
      </c>
      <c r="I45" s="255"/>
      <c r="O45" s="81">
        <v>1.08</v>
      </c>
      <c r="P45" s="81">
        <f t="shared" si="5"/>
        <v>56.721600000000009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59">
        <v>42549</v>
      </c>
      <c r="C46" s="254">
        <v>600</v>
      </c>
      <c r="D46" s="255">
        <v>38.552599999999998</v>
      </c>
      <c r="E46" s="255">
        <v>34.67</v>
      </c>
      <c r="F46" s="255">
        <f t="shared" ref="F46:F88" si="6">C46*(E46-D46)</f>
        <v>-2329.5599999999977</v>
      </c>
      <c r="G46" s="255">
        <f t="shared" ref="G46:G88" si="7">D46*C46</f>
        <v>23131.559999999998</v>
      </c>
      <c r="H46" s="269">
        <f t="shared" ref="H46:H88" si="8">(E46-D46)/D46</f>
        <v>-0.10070916099043895</v>
      </c>
      <c r="I46" s="255"/>
      <c r="O46" s="81">
        <v>1.07</v>
      </c>
      <c r="P46" s="81">
        <f t="shared" si="5"/>
        <v>56.196400000000004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59">
        <v>42552</v>
      </c>
      <c r="C47" s="254">
        <v>600</v>
      </c>
      <c r="D47" s="255">
        <v>38.552599999999998</v>
      </c>
      <c r="E47" s="255">
        <v>36.770000000000003</v>
      </c>
      <c r="F47" s="255">
        <f t="shared" si="6"/>
        <v>-1069.559999999997</v>
      </c>
      <c r="G47" s="255">
        <f t="shared" si="7"/>
        <v>23131.559999999998</v>
      </c>
      <c r="H47" s="269">
        <f t="shared" si="8"/>
        <v>-4.6238126611434643E-2</v>
      </c>
      <c r="I47" s="255"/>
      <c r="O47" s="81">
        <v>1.06</v>
      </c>
      <c r="P47" s="81">
        <f t="shared" si="5"/>
        <v>55.671200000000006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59">
        <v>42556</v>
      </c>
      <c r="C48" s="268">
        <v>600</v>
      </c>
      <c r="D48" s="361">
        <v>38.552599999999998</v>
      </c>
      <c r="E48" s="255">
        <v>35.619999999999997</v>
      </c>
      <c r="F48" s="255">
        <f t="shared" si="6"/>
        <v>-1759.5600000000004</v>
      </c>
      <c r="G48" s="255">
        <f t="shared" si="7"/>
        <v>23131.559999999998</v>
      </c>
      <c r="H48" s="269">
        <f t="shared" si="8"/>
        <v>-7.6067502580889512E-2</v>
      </c>
      <c r="I48" s="255"/>
      <c r="O48" s="81">
        <v>1.05</v>
      </c>
      <c r="P48" s="81">
        <f t="shared" si="5"/>
        <v>55.146000000000008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59">
        <v>42559</v>
      </c>
      <c r="C49" s="268">
        <v>600</v>
      </c>
      <c r="D49" s="361">
        <v>38.552599999999998</v>
      </c>
      <c r="E49" s="255">
        <v>37.369999999999997</v>
      </c>
      <c r="F49" s="255">
        <f t="shared" si="6"/>
        <v>-709.5600000000004</v>
      </c>
      <c r="G49" s="255">
        <f t="shared" si="7"/>
        <v>23131.559999999998</v>
      </c>
      <c r="H49" s="269">
        <f t="shared" si="8"/>
        <v>-3.0674973931719283E-2</v>
      </c>
      <c r="I49" s="255"/>
      <c r="O49" s="81">
        <v>1.04</v>
      </c>
      <c r="P49" s="81">
        <f t="shared" si="5"/>
        <v>54.620800000000003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59">
        <v>42562</v>
      </c>
      <c r="C50" s="268">
        <v>600</v>
      </c>
      <c r="D50" s="361">
        <v>38.552599999999998</v>
      </c>
      <c r="E50" s="255">
        <v>38.119999999999997</v>
      </c>
      <c r="F50" s="255">
        <f t="shared" si="6"/>
        <v>-259.56000000000046</v>
      </c>
      <c r="G50" s="255">
        <f t="shared" si="7"/>
        <v>23131.559999999998</v>
      </c>
      <c r="H50" s="269">
        <f t="shared" si="8"/>
        <v>-1.1221033082074899E-2</v>
      </c>
      <c r="I50" s="255"/>
      <c r="O50" s="81">
        <v>1.03</v>
      </c>
      <c r="P50" s="81">
        <f t="shared" si="5"/>
        <v>54.095600000000005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59">
        <v>42563</v>
      </c>
      <c r="C51" s="254">
        <v>500</v>
      </c>
      <c r="D51" s="255">
        <v>38.395200000000003</v>
      </c>
      <c r="E51" s="255">
        <v>40.21</v>
      </c>
      <c r="F51" s="255">
        <f t="shared" si="6"/>
        <v>907.39999999999907</v>
      </c>
      <c r="G51" s="255">
        <f t="shared" si="7"/>
        <v>19197.600000000002</v>
      </c>
      <c r="H51" s="269">
        <f t="shared" si="8"/>
        <v>4.7266324957286276E-2</v>
      </c>
      <c r="I51" s="255"/>
      <c r="O51" s="81">
        <v>1.02</v>
      </c>
      <c r="P51" s="81">
        <f>O51*$Q$4</f>
        <v>53.570400000000006</v>
      </c>
      <c r="Q51" s="2"/>
      <c r="T51" s="91" t="s">
        <v>104</v>
      </c>
      <c r="U51" s="86" t="s">
        <v>687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59">
        <v>42566</v>
      </c>
      <c r="C52" s="254">
        <v>400</v>
      </c>
      <c r="D52" s="255">
        <v>37.874299999999998</v>
      </c>
      <c r="E52" s="255">
        <v>39.979999999999997</v>
      </c>
      <c r="F52" s="255">
        <f t="shared" si="6"/>
        <v>842.27999999999952</v>
      </c>
      <c r="G52" s="255">
        <f t="shared" si="7"/>
        <v>15149.72</v>
      </c>
      <c r="H52" s="269">
        <f t="shared" si="8"/>
        <v>5.559706714051478E-2</v>
      </c>
      <c r="I52" s="255"/>
      <c r="O52" s="81">
        <v>1.01</v>
      </c>
      <c r="P52" s="81">
        <f t="shared" si="5"/>
        <v>53.045200000000001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59">
        <v>42569</v>
      </c>
      <c r="C53" s="254">
        <v>400</v>
      </c>
      <c r="D53" s="255">
        <v>37.874299999999998</v>
      </c>
      <c r="E53" s="255">
        <v>40.1</v>
      </c>
      <c r="F53" s="255">
        <f t="shared" si="6"/>
        <v>890.28000000000134</v>
      </c>
      <c r="G53" s="255">
        <f t="shared" si="7"/>
        <v>15149.72</v>
      </c>
      <c r="H53" s="269">
        <f t="shared" si="8"/>
        <v>5.8765442529631E-2</v>
      </c>
      <c r="I53" s="255"/>
      <c r="O53" s="81">
        <v>1</v>
      </c>
      <c r="P53" s="81">
        <f t="shared" si="5"/>
        <v>52.52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59">
        <v>42570</v>
      </c>
      <c r="C54" s="254">
        <v>400</v>
      </c>
      <c r="D54" s="255">
        <v>37.874299999999998</v>
      </c>
      <c r="E54" s="255">
        <v>40.53</v>
      </c>
      <c r="F54" s="255">
        <f t="shared" si="6"/>
        <v>1062.2800000000011</v>
      </c>
      <c r="G54" s="255">
        <f t="shared" si="7"/>
        <v>15149.72</v>
      </c>
      <c r="H54" s="269">
        <f t="shared" si="8"/>
        <v>7.0118787673963692E-2</v>
      </c>
      <c r="I54" s="255"/>
      <c r="O54" s="81">
        <v>0.99</v>
      </c>
      <c r="P54" s="81">
        <f t="shared" si="5"/>
        <v>51.994800000000005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59">
        <v>42571</v>
      </c>
      <c r="C55" s="268">
        <v>300</v>
      </c>
      <c r="D55" s="361">
        <v>36.805999999999997</v>
      </c>
      <c r="E55" s="361">
        <v>40.21</v>
      </c>
      <c r="F55" s="255">
        <f t="shared" si="6"/>
        <v>1021.2000000000011</v>
      </c>
      <c r="G55" s="255">
        <f t="shared" si="7"/>
        <v>11041.8</v>
      </c>
      <c r="H55" s="269">
        <f t="shared" si="8"/>
        <v>9.2484920936803883E-2</v>
      </c>
      <c r="I55" s="255"/>
      <c r="O55" s="81">
        <v>0.98</v>
      </c>
      <c r="P55" s="81">
        <f t="shared" si="5"/>
        <v>51.4696</v>
      </c>
      <c r="T55" s="91" t="s">
        <v>107</v>
      </c>
      <c r="U55" s="86" t="s">
        <v>612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59">
        <v>42572</v>
      </c>
      <c r="C56" s="254">
        <v>350</v>
      </c>
      <c r="D56" s="255">
        <v>37.059399999999997</v>
      </c>
      <c r="E56" s="255">
        <v>38.520000000000003</v>
      </c>
      <c r="F56" s="255">
        <f t="shared" si="6"/>
        <v>511.21000000000231</v>
      </c>
      <c r="G56" s="255">
        <f t="shared" si="7"/>
        <v>12970.789999999999</v>
      </c>
      <c r="H56" s="269">
        <f t="shared" si="8"/>
        <v>3.9412402791194859E-2</v>
      </c>
      <c r="I56" s="255"/>
      <c r="O56" s="81">
        <v>0.97</v>
      </c>
      <c r="P56" s="81">
        <f t="shared" si="5"/>
        <v>50.944400000000002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59">
        <v>42575</v>
      </c>
      <c r="C57" s="254">
        <v>350</v>
      </c>
      <c r="D57" s="255">
        <v>37.059399999999997</v>
      </c>
      <c r="E57" s="255">
        <v>38.96</v>
      </c>
      <c r="F57" s="255">
        <f t="shared" si="6"/>
        <v>665.21000000000151</v>
      </c>
      <c r="G57" s="255">
        <f t="shared" si="7"/>
        <v>12970.789999999999</v>
      </c>
      <c r="H57" s="269">
        <f t="shared" si="8"/>
        <v>5.1285233975725576E-2</v>
      </c>
      <c r="I57" s="255"/>
      <c r="O57" s="81">
        <v>0.96</v>
      </c>
      <c r="P57" s="81">
        <f t="shared" si="5"/>
        <v>50.419200000000004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59">
        <v>42577</v>
      </c>
      <c r="C58" s="254">
        <v>350</v>
      </c>
      <c r="D58" s="255">
        <v>37.059399999999997</v>
      </c>
      <c r="E58" s="255">
        <v>39.03</v>
      </c>
      <c r="F58" s="255">
        <f t="shared" si="6"/>
        <v>689.71000000000163</v>
      </c>
      <c r="G58" s="255">
        <f t="shared" si="7"/>
        <v>12970.789999999999</v>
      </c>
      <c r="H58" s="269">
        <f t="shared" si="8"/>
        <v>5.3174093482355481E-2</v>
      </c>
      <c r="I58" s="255"/>
      <c r="O58" s="81">
        <v>0.95</v>
      </c>
      <c r="P58" s="81">
        <f t="shared" si="5"/>
        <v>49.893999999999998</v>
      </c>
      <c r="T58" s="91" t="s">
        <v>108</v>
      </c>
      <c r="U58" s="86" t="s">
        <v>579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59">
        <v>42580</v>
      </c>
      <c r="C59" s="254">
        <v>300</v>
      </c>
      <c r="D59" s="255">
        <v>36.606099999999998</v>
      </c>
      <c r="E59" s="255">
        <v>39.659999999999997</v>
      </c>
      <c r="F59" s="255">
        <f t="shared" si="6"/>
        <v>916.16999999999962</v>
      </c>
      <c r="G59" s="255">
        <f t="shared" si="7"/>
        <v>10981.83</v>
      </c>
      <c r="H59" s="269">
        <f t="shared" si="8"/>
        <v>8.3425986379319264E-2</v>
      </c>
      <c r="I59" s="255">
        <v>36</v>
      </c>
      <c r="O59" s="81">
        <v>0.94</v>
      </c>
      <c r="P59" s="81">
        <f t="shared" si="5"/>
        <v>49.3688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59">
        <v>42580</v>
      </c>
      <c r="C60" s="254">
        <v>350</v>
      </c>
      <c r="D60" s="255">
        <v>36.945300000000003</v>
      </c>
      <c r="E60" s="255">
        <v>38.75</v>
      </c>
      <c r="F60" s="255">
        <f t="shared" si="6"/>
        <v>631.64499999999884</v>
      </c>
      <c r="G60" s="255">
        <f t="shared" si="7"/>
        <v>12930.855000000001</v>
      </c>
      <c r="H60" s="269">
        <f t="shared" si="8"/>
        <v>4.8847891342065075E-2</v>
      </c>
      <c r="I60" s="255"/>
      <c r="O60" s="81">
        <v>0.93</v>
      </c>
      <c r="P60" s="81">
        <f t="shared" si="5"/>
        <v>48.843600000000002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59">
        <v>42584</v>
      </c>
      <c r="C61" s="254">
        <v>400</v>
      </c>
      <c r="D61" s="255">
        <v>37.037100000000002</v>
      </c>
      <c r="E61" s="255">
        <v>36.39</v>
      </c>
      <c r="F61" s="255">
        <f t="shared" si="6"/>
        <v>-258.84000000000071</v>
      </c>
      <c r="G61" s="255">
        <f t="shared" si="7"/>
        <v>14814.84</v>
      </c>
      <c r="H61" s="269">
        <f t="shared" si="8"/>
        <v>-1.747167029816054E-2</v>
      </c>
      <c r="I61" s="255">
        <v>36.5</v>
      </c>
      <c r="O61" s="81">
        <v>0.92</v>
      </c>
      <c r="P61" s="81">
        <f t="shared" si="5"/>
        <v>48.318400000000004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59">
        <v>42597</v>
      </c>
      <c r="C62" s="254">
        <v>400</v>
      </c>
      <c r="D62" s="255">
        <v>37.037100000000002</v>
      </c>
      <c r="E62" s="255">
        <v>36.92</v>
      </c>
      <c r="F62" s="255">
        <f t="shared" si="6"/>
        <v>-46.840000000000259</v>
      </c>
      <c r="G62" s="255">
        <f t="shared" si="7"/>
        <v>14814.84</v>
      </c>
      <c r="H62" s="269">
        <f t="shared" si="8"/>
        <v>-3.1616946251191544E-3</v>
      </c>
      <c r="I62" s="255"/>
      <c r="O62" s="81">
        <v>0.91</v>
      </c>
      <c r="P62" s="81">
        <f t="shared" si="5"/>
        <v>47.793200000000006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59">
        <v>42599</v>
      </c>
      <c r="C63" s="254">
        <v>400</v>
      </c>
      <c r="D63" s="255">
        <v>37.037100000000002</v>
      </c>
      <c r="E63" s="255">
        <v>37.51</v>
      </c>
      <c r="F63" s="255">
        <f t="shared" si="6"/>
        <v>189.15999999999826</v>
      </c>
      <c r="G63" s="255">
        <f t="shared" si="7"/>
        <v>14814.84</v>
      </c>
      <c r="H63" s="269">
        <f t="shared" si="8"/>
        <v>1.2768278293926781E-2</v>
      </c>
      <c r="I63" s="255"/>
      <c r="O63" s="81">
        <v>0.9</v>
      </c>
      <c r="P63" s="81">
        <f t="shared" si="5"/>
        <v>47.268000000000001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59">
        <v>42600</v>
      </c>
      <c r="C64" s="254">
        <v>400</v>
      </c>
      <c r="D64" s="255">
        <v>37.037100000000002</v>
      </c>
      <c r="E64" s="255">
        <v>37.07</v>
      </c>
      <c r="F64" s="255">
        <f t="shared" si="6"/>
        <v>13.159999999999172</v>
      </c>
      <c r="G64" s="255">
        <f t="shared" si="7"/>
        <v>14814.84</v>
      </c>
      <c r="H64" s="269">
        <f t="shared" si="8"/>
        <v>8.8829848989251125E-4</v>
      </c>
      <c r="I64" s="255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59">
        <v>42601</v>
      </c>
      <c r="C65" s="254">
        <v>400</v>
      </c>
      <c r="D65" s="255">
        <v>37.037100000000002</v>
      </c>
      <c r="E65" s="255">
        <v>36.770000000000003</v>
      </c>
      <c r="F65" s="255">
        <f t="shared" si="6"/>
        <v>-106.83999999999969</v>
      </c>
      <c r="G65" s="255">
        <f t="shared" si="7"/>
        <v>14814.84</v>
      </c>
      <c r="H65" s="269">
        <f t="shared" si="8"/>
        <v>-7.2116877401308208E-3</v>
      </c>
      <c r="I65" s="255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59">
        <v>42604</v>
      </c>
      <c r="C66" s="254">
        <v>400</v>
      </c>
      <c r="D66" s="255">
        <v>37.037100000000002</v>
      </c>
      <c r="E66" s="255">
        <v>36.61</v>
      </c>
      <c r="F66" s="255">
        <f t="shared" si="6"/>
        <v>-170.84000000000117</v>
      </c>
      <c r="G66" s="255">
        <f t="shared" si="7"/>
        <v>14814.84</v>
      </c>
      <c r="H66" s="269">
        <f t="shared" si="8"/>
        <v>-1.1531680396143405E-2</v>
      </c>
      <c r="I66" s="255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59">
        <v>42605</v>
      </c>
      <c r="C67" s="254">
        <v>400</v>
      </c>
      <c r="D67" s="255">
        <v>37.037100000000002</v>
      </c>
      <c r="E67" s="255">
        <v>36.69</v>
      </c>
      <c r="F67" s="255">
        <f t="shared" si="6"/>
        <v>-138.84000000000185</v>
      </c>
      <c r="G67" s="255">
        <f t="shared" si="7"/>
        <v>14814.84</v>
      </c>
      <c r="H67" s="269">
        <f t="shared" si="8"/>
        <v>-9.3716840681372093E-3</v>
      </c>
      <c r="I67" s="255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59">
        <v>42606</v>
      </c>
      <c r="C68" s="254">
        <v>400</v>
      </c>
      <c r="D68" s="255">
        <v>37.037100000000002</v>
      </c>
      <c r="E68" s="255">
        <v>36.770000000000003</v>
      </c>
      <c r="F68" s="255">
        <f t="shared" si="6"/>
        <v>-106.83999999999969</v>
      </c>
      <c r="G68" s="255">
        <f t="shared" si="7"/>
        <v>14814.84</v>
      </c>
      <c r="H68" s="269">
        <f t="shared" si="8"/>
        <v>-7.2116877401308208E-3</v>
      </c>
      <c r="I68" s="255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59">
        <v>42607</v>
      </c>
      <c r="C69" s="254">
        <v>400</v>
      </c>
      <c r="D69" s="255">
        <v>37.037100000000002</v>
      </c>
      <c r="E69" s="255">
        <v>36.47</v>
      </c>
      <c r="F69" s="255">
        <f t="shared" si="6"/>
        <v>-226.8400000000014</v>
      </c>
      <c r="G69" s="255">
        <f t="shared" si="7"/>
        <v>14814.84</v>
      </c>
      <c r="H69" s="269">
        <f t="shared" si="8"/>
        <v>-1.5311673970154344E-2</v>
      </c>
      <c r="I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59">
        <v>42611</v>
      </c>
      <c r="C70" s="254">
        <v>400</v>
      </c>
      <c r="D70" s="255">
        <v>37.037100000000002</v>
      </c>
      <c r="E70" s="255">
        <v>36.549999999999997</v>
      </c>
      <c r="F70" s="255">
        <f t="shared" si="6"/>
        <v>-194.84000000000208</v>
      </c>
      <c r="G70" s="255">
        <f t="shared" si="7"/>
        <v>14814.84</v>
      </c>
      <c r="H70" s="269">
        <f t="shared" si="8"/>
        <v>-1.3151677642148148E-2</v>
      </c>
      <c r="I70" s="255"/>
    </row>
    <row r="71" spans="2:31" x14ac:dyDescent="0.25">
      <c r="B71" s="259">
        <v>42612</v>
      </c>
      <c r="C71" s="254">
        <v>400</v>
      </c>
      <c r="D71" s="255">
        <v>37.037100000000002</v>
      </c>
      <c r="E71" s="255">
        <v>37.159999999999997</v>
      </c>
      <c r="F71" s="255">
        <f t="shared" si="6"/>
        <v>49.159999999997694</v>
      </c>
      <c r="G71" s="255">
        <f t="shared" si="7"/>
        <v>14814.84</v>
      </c>
      <c r="H71" s="269">
        <f t="shared" si="8"/>
        <v>3.3182943588994339E-3</v>
      </c>
      <c r="I71" s="255"/>
    </row>
    <row r="72" spans="2:31" x14ac:dyDescent="0.25">
      <c r="B72" s="259">
        <v>42614</v>
      </c>
      <c r="C72" s="254">
        <v>400</v>
      </c>
      <c r="D72" s="255">
        <v>37.037100000000002</v>
      </c>
      <c r="E72" s="255">
        <v>36.82</v>
      </c>
      <c r="F72" s="255">
        <f t="shared" si="6"/>
        <v>-86.840000000000828</v>
      </c>
      <c r="G72" s="255">
        <f t="shared" si="7"/>
        <v>14814.84</v>
      </c>
      <c r="H72" s="269">
        <f t="shared" si="8"/>
        <v>-5.8616900351269961E-3</v>
      </c>
      <c r="I72" s="255"/>
    </row>
    <row r="73" spans="2:31" x14ac:dyDescent="0.25">
      <c r="B73" s="259">
        <v>42615</v>
      </c>
      <c r="C73" s="254">
        <v>400</v>
      </c>
      <c r="D73" s="255">
        <v>37.037100000000002</v>
      </c>
      <c r="E73" s="255">
        <v>37.17</v>
      </c>
      <c r="F73" s="255">
        <f t="shared" si="6"/>
        <v>53.159999999999741</v>
      </c>
      <c r="G73" s="255">
        <f t="shared" si="7"/>
        <v>14814.84</v>
      </c>
      <c r="H73" s="269">
        <f t="shared" si="8"/>
        <v>3.5882938999003524E-3</v>
      </c>
      <c r="I73" s="255"/>
    </row>
    <row r="74" spans="2:31" x14ac:dyDescent="0.25">
      <c r="B74" s="259">
        <v>42615</v>
      </c>
      <c r="C74" s="254">
        <v>400</v>
      </c>
      <c r="D74" s="255">
        <v>36.834600000000002</v>
      </c>
      <c r="E74" s="255">
        <v>37.17</v>
      </c>
      <c r="F74" s="255">
        <f t="shared" si="6"/>
        <v>134.15999999999997</v>
      </c>
      <c r="G74" s="255">
        <f t="shared" si="7"/>
        <v>14733.84</v>
      </c>
      <c r="H74" s="269">
        <f t="shared" si="8"/>
        <v>9.1055692202440079E-3</v>
      </c>
      <c r="I74" s="255" t="s">
        <v>264</v>
      </c>
    </row>
    <row r="75" spans="2:31" x14ac:dyDescent="0.25">
      <c r="B75" s="259">
        <v>42619</v>
      </c>
      <c r="C75" s="254">
        <v>400</v>
      </c>
      <c r="D75" s="255">
        <v>36.834600000000002</v>
      </c>
      <c r="E75" s="255">
        <v>36.82</v>
      </c>
      <c r="F75" s="255">
        <f t="shared" si="6"/>
        <v>-5.8400000000006003</v>
      </c>
      <c r="G75" s="255">
        <f t="shared" si="7"/>
        <v>14733.84</v>
      </c>
      <c r="H75" s="269">
        <f t="shared" si="8"/>
        <v>-3.9636645979599343E-4</v>
      </c>
      <c r="I75" s="255"/>
    </row>
    <row r="76" spans="2:31" x14ac:dyDescent="0.25">
      <c r="B76" s="259">
        <v>42620</v>
      </c>
      <c r="C76" s="254">
        <v>350</v>
      </c>
      <c r="D76" s="255">
        <v>36.642400000000002</v>
      </c>
      <c r="E76" s="255">
        <v>38.9</v>
      </c>
      <c r="F76" s="255">
        <f t="shared" si="6"/>
        <v>790.15999999999872</v>
      </c>
      <c r="G76" s="255">
        <f t="shared" si="7"/>
        <v>12824.84</v>
      </c>
      <c r="H76" s="269">
        <f t="shared" si="8"/>
        <v>6.1611684824138056E-2</v>
      </c>
      <c r="I76" s="255"/>
    </row>
    <row r="77" spans="2:31" x14ac:dyDescent="0.25">
      <c r="B77" s="259">
        <v>42620</v>
      </c>
      <c r="C77" s="254">
        <v>300</v>
      </c>
      <c r="D77" s="255">
        <v>36.269399999999997</v>
      </c>
      <c r="E77" s="255">
        <v>38.9</v>
      </c>
      <c r="F77" s="255">
        <f t="shared" si="6"/>
        <v>789.18000000000029</v>
      </c>
      <c r="G77" s="255">
        <f t="shared" si="7"/>
        <v>10880.82</v>
      </c>
      <c r="H77" s="269">
        <f t="shared" si="8"/>
        <v>7.2529460095838397E-2</v>
      </c>
      <c r="I77" s="255">
        <v>36</v>
      </c>
    </row>
    <row r="78" spans="2:31" x14ac:dyDescent="0.25">
      <c r="B78" s="259">
        <v>42620</v>
      </c>
      <c r="C78" s="254">
        <v>250</v>
      </c>
      <c r="D78" s="255">
        <v>35.705300000000001</v>
      </c>
      <c r="E78" s="255">
        <v>38.9</v>
      </c>
      <c r="F78" s="255">
        <f t="shared" si="6"/>
        <v>798.67499999999939</v>
      </c>
      <c r="G78" s="255">
        <f t="shared" si="7"/>
        <v>8926.3250000000007</v>
      </c>
      <c r="H78" s="269">
        <f t="shared" si="8"/>
        <v>8.9474111686500254E-2</v>
      </c>
      <c r="I78" s="255"/>
    </row>
    <row r="79" spans="2:31" x14ac:dyDescent="0.25">
      <c r="B79" s="259">
        <v>42622</v>
      </c>
      <c r="C79" s="254">
        <v>250</v>
      </c>
      <c r="D79" s="255">
        <v>35.705300000000001</v>
      </c>
      <c r="E79" s="255">
        <v>37.75</v>
      </c>
      <c r="F79" s="255">
        <f t="shared" si="6"/>
        <v>511.17499999999973</v>
      </c>
      <c r="G79" s="255">
        <f t="shared" si="7"/>
        <v>8926.3250000000007</v>
      </c>
      <c r="H79" s="269">
        <f t="shared" si="8"/>
        <v>5.7266008127644881E-2</v>
      </c>
      <c r="I79" s="255"/>
    </row>
    <row r="80" spans="2:31" x14ac:dyDescent="0.25">
      <c r="B80" s="259">
        <v>42625</v>
      </c>
      <c r="C80" s="254">
        <v>250</v>
      </c>
      <c r="D80" s="255">
        <v>35.705300000000001</v>
      </c>
      <c r="E80" s="255">
        <v>38.44</v>
      </c>
      <c r="F80" s="255">
        <f t="shared" si="6"/>
        <v>683.67499999999916</v>
      </c>
      <c r="G80" s="255">
        <f t="shared" si="7"/>
        <v>8926.3250000000007</v>
      </c>
      <c r="H80" s="269">
        <f t="shared" si="8"/>
        <v>7.6590870262958063E-2</v>
      </c>
      <c r="I80" s="255"/>
    </row>
    <row r="81" spans="2:9" x14ac:dyDescent="0.25">
      <c r="B81" s="259">
        <v>42627</v>
      </c>
      <c r="C81" s="254">
        <v>250</v>
      </c>
      <c r="D81" s="255">
        <v>35.705300000000001</v>
      </c>
      <c r="E81" s="255">
        <v>37.119999999999997</v>
      </c>
      <c r="F81" s="255">
        <f t="shared" si="6"/>
        <v>353.67499999999905</v>
      </c>
      <c r="G81" s="255">
        <f t="shared" si="7"/>
        <v>8926.3250000000007</v>
      </c>
      <c r="H81" s="269">
        <f t="shared" si="8"/>
        <v>3.9621568786706633E-2</v>
      </c>
      <c r="I81" s="255"/>
    </row>
    <row r="82" spans="2:9" x14ac:dyDescent="0.25">
      <c r="B82" s="259">
        <v>42629</v>
      </c>
      <c r="C82" s="254">
        <v>250</v>
      </c>
      <c r="D82" s="255">
        <v>35.705300000000001</v>
      </c>
      <c r="E82" s="255">
        <v>36.770000000000003</v>
      </c>
      <c r="F82" s="255">
        <f t="shared" si="6"/>
        <v>266.17500000000052</v>
      </c>
      <c r="G82" s="255">
        <f t="shared" si="7"/>
        <v>8926.3250000000007</v>
      </c>
      <c r="H82" s="269">
        <f t="shared" si="8"/>
        <v>2.9819102486185578E-2</v>
      </c>
      <c r="I82" s="255"/>
    </row>
    <row r="83" spans="2:9" x14ac:dyDescent="0.25">
      <c r="B83" s="259">
        <v>42632</v>
      </c>
      <c r="C83" s="254">
        <v>250</v>
      </c>
      <c r="D83" s="255">
        <v>35.705300000000001</v>
      </c>
      <c r="E83" s="255">
        <v>37.57</v>
      </c>
      <c r="F83" s="255">
        <f t="shared" si="6"/>
        <v>466.17499999999978</v>
      </c>
      <c r="G83" s="255">
        <f t="shared" si="7"/>
        <v>8926.3250000000007</v>
      </c>
      <c r="H83" s="269">
        <f t="shared" si="8"/>
        <v>5.2224739744519695E-2</v>
      </c>
      <c r="I83" s="255"/>
    </row>
    <row r="84" spans="2:9" x14ac:dyDescent="0.25">
      <c r="B84" s="259">
        <v>42633</v>
      </c>
      <c r="C84" s="254">
        <v>250</v>
      </c>
      <c r="D84" s="255">
        <v>35.705300000000001</v>
      </c>
      <c r="E84" s="255">
        <v>38.049999999999997</v>
      </c>
      <c r="F84" s="255">
        <f t="shared" si="6"/>
        <v>586.17499999999905</v>
      </c>
      <c r="G84" s="255">
        <f t="shared" si="7"/>
        <v>8926.3250000000007</v>
      </c>
      <c r="H84" s="269">
        <f t="shared" si="8"/>
        <v>6.5668122099520124E-2</v>
      </c>
      <c r="I84" s="255"/>
    </row>
    <row r="85" spans="2:9" x14ac:dyDescent="0.25">
      <c r="B85" s="259">
        <v>42635</v>
      </c>
      <c r="C85" s="254">
        <v>250</v>
      </c>
      <c r="D85" s="255">
        <v>35.705300000000001</v>
      </c>
      <c r="E85" s="255">
        <v>38.5</v>
      </c>
      <c r="F85" s="255">
        <f t="shared" si="6"/>
        <v>698.67499999999973</v>
      </c>
      <c r="G85" s="255">
        <f t="shared" si="7"/>
        <v>8926.3250000000007</v>
      </c>
      <c r="H85" s="269">
        <f t="shared" si="8"/>
        <v>7.8271293057333186E-2</v>
      </c>
      <c r="I85" s="255"/>
    </row>
    <row r="86" spans="2:9" x14ac:dyDescent="0.25">
      <c r="B86" s="259">
        <v>42636</v>
      </c>
      <c r="C86" s="254">
        <v>250</v>
      </c>
      <c r="D86" s="255">
        <v>35.705300000000001</v>
      </c>
      <c r="E86" s="255">
        <v>38.78</v>
      </c>
      <c r="F86" s="255">
        <f t="shared" si="6"/>
        <v>768.67499999999995</v>
      </c>
      <c r="G86" s="255">
        <f t="shared" si="7"/>
        <v>8926.3250000000007</v>
      </c>
      <c r="H86" s="269">
        <f t="shared" si="8"/>
        <v>8.6113266097750191E-2</v>
      </c>
      <c r="I86" s="255"/>
    </row>
    <row r="87" spans="2:9" x14ac:dyDescent="0.25">
      <c r="B87" s="259">
        <v>42639</v>
      </c>
      <c r="C87" s="254">
        <v>250</v>
      </c>
      <c r="D87" s="255">
        <v>35.705300000000001</v>
      </c>
      <c r="E87" s="255">
        <v>38.04</v>
      </c>
      <c r="F87" s="255">
        <f t="shared" si="6"/>
        <v>583.6749999999995</v>
      </c>
      <c r="G87" s="255">
        <f t="shared" si="7"/>
        <v>8926.3250000000007</v>
      </c>
      <c r="H87" s="269">
        <f t="shared" si="8"/>
        <v>6.5388051633791008E-2</v>
      </c>
      <c r="I87" s="255"/>
    </row>
    <row r="88" spans="2:9" x14ac:dyDescent="0.25">
      <c r="B88" s="259">
        <v>42640</v>
      </c>
      <c r="C88" s="254">
        <v>250</v>
      </c>
      <c r="D88" s="255">
        <v>35.705300000000001</v>
      </c>
      <c r="E88" s="255">
        <v>39.21</v>
      </c>
      <c r="F88" s="255">
        <f t="shared" si="6"/>
        <v>876.17499999999995</v>
      </c>
      <c r="G88" s="255">
        <f t="shared" si="7"/>
        <v>8926.3250000000007</v>
      </c>
      <c r="H88" s="269">
        <f t="shared" si="8"/>
        <v>9.8156296124104814E-2</v>
      </c>
      <c r="I88" s="255"/>
    </row>
    <row r="89" spans="2:9" x14ac:dyDescent="0.25">
      <c r="B89" s="259">
        <v>42641</v>
      </c>
      <c r="C89" s="254">
        <v>0</v>
      </c>
      <c r="D89" s="255"/>
      <c r="E89" s="255"/>
      <c r="F89" s="255">
        <v>993.45</v>
      </c>
      <c r="G89" s="255"/>
      <c r="H89" s="269"/>
      <c r="I89" s="255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9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9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9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9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9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9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9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9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9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10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9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10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9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10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9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10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10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10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10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</sheetData>
  <mergeCells count="1">
    <mergeCell ref="O42:P42"/>
  </mergeCells>
  <conditionalFormatting sqref="F45:F59 F61:F91 F93:F102">
    <cfRule type="expression" dxfId="289" priority="31">
      <formula>F45&gt;0</formula>
    </cfRule>
    <cfRule type="expression" dxfId="28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87" priority="33">
      <formula>F40&gt;0</formula>
    </cfRule>
    <cfRule type="expression" dxfId="286" priority="34">
      <formula>F40&lt;0</formula>
    </cfRule>
  </conditionalFormatting>
  <conditionalFormatting sqref="F45:F59 F61:F91 F93:F102">
    <cfRule type="expression" dxfId="285" priority="29">
      <formula>F45&gt;0</formula>
    </cfRule>
    <cfRule type="expression" dxfId="284" priority="30">
      <formula>F45&lt;0</formula>
    </cfRule>
  </conditionalFormatting>
  <conditionalFormatting sqref="H40:H59 H61:H91 H93:H102">
    <cfRule type="expression" dxfId="283" priority="27">
      <formula>H40&gt;0</formula>
    </cfRule>
    <cfRule type="expression" dxfId="282" priority="28">
      <formula>H40&lt;0</formula>
    </cfRule>
  </conditionalFormatting>
  <conditionalFormatting sqref="F36:F39">
    <cfRule type="expression" dxfId="281" priority="25">
      <formula>F36&gt;0</formula>
    </cfRule>
    <cfRule type="expression" dxfId="280" priority="26">
      <formula>F36&lt;0</formula>
    </cfRule>
  </conditionalFormatting>
  <conditionalFormatting sqref="H36:H39">
    <cfRule type="expression" dxfId="279" priority="23">
      <formula>H36&gt;0</formula>
    </cfRule>
    <cfRule type="expression" dxfId="278" priority="24">
      <formula>H36&lt;0</formula>
    </cfRule>
  </conditionalFormatting>
  <conditionalFormatting sqref="Q7">
    <cfRule type="expression" dxfId="277" priority="17">
      <formula>Q7&gt;0</formula>
    </cfRule>
    <cfRule type="expression" dxfId="276" priority="18">
      <formula>Q7&lt;0</formula>
    </cfRule>
  </conditionalFormatting>
  <conditionalFormatting sqref="Q8">
    <cfRule type="expression" dxfId="275" priority="15">
      <formula>Q8&gt;0</formula>
    </cfRule>
    <cfRule type="expression" dxfId="274" priority="16">
      <formula>Q8&lt;0</formula>
    </cfRule>
  </conditionalFormatting>
  <conditionalFormatting sqref="Q10">
    <cfRule type="expression" dxfId="273" priority="13">
      <formula>Q10&gt;0</formula>
    </cfRule>
    <cfRule type="expression" dxfId="272" priority="14">
      <formula>Q10&lt;0</formula>
    </cfRule>
  </conditionalFormatting>
  <conditionalFormatting sqref="F60">
    <cfRule type="expression" dxfId="271" priority="11">
      <formula>F60&gt;0</formula>
    </cfRule>
    <cfRule type="expression" dxfId="270" priority="12">
      <formula>F60&lt;0</formula>
    </cfRule>
  </conditionalFormatting>
  <conditionalFormatting sqref="F60">
    <cfRule type="expression" dxfId="269" priority="9">
      <formula>F60&gt;0</formula>
    </cfRule>
    <cfRule type="expression" dxfId="268" priority="10">
      <formula>F60&lt;0</formula>
    </cfRule>
  </conditionalFormatting>
  <conditionalFormatting sqref="H60">
    <cfRule type="expression" dxfId="267" priority="7">
      <formula>H60&gt;0</formula>
    </cfRule>
    <cfRule type="expression" dxfId="266" priority="8">
      <formula>H60&lt;0</formula>
    </cfRule>
  </conditionalFormatting>
  <conditionalFormatting sqref="F92">
    <cfRule type="expression" dxfId="265" priority="5">
      <formula>F92&gt;0</formula>
    </cfRule>
    <cfRule type="expression" dxfId="264" priority="6">
      <formula>F92&lt;0</formula>
    </cfRule>
  </conditionalFormatting>
  <conditionalFormatting sqref="F92">
    <cfRule type="expression" dxfId="263" priority="3">
      <formula>F92&gt;0</formula>
    </cfRule>
    <cfRule type="expression" dxfId="262" priority="4">
      <formula>F92&lt;0</formula>
    </cfRule>
  </conditionalFormatting>
  <conditionalFormatting sqref="H92">
    <cfRule type="expression" dxfId="261" priority="1">
      <formula>H92&gt;0</formula>
    </cfRule>
    <cfRule type="expression" dxfId="26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100</v>
      </c>
      <c r="T2" s="1">
        <v>43080</v>
      </c>
      <c r="U2" t="s">
        <v>830</v>
      </c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21.28</v>
      </c>
      <c r="T3" s="1">
        <v>43088</v>
      </c>
      <c r="U3" t="s">
        <v>836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19.739999999999998</v>
      </c>
      <c r="R4" s="487">
        <v>-4.0399999999999998E-2</v>
      </c>
      <c r="U4" t="s">
        <v>837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1973.9999999999998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2128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130.97000000000457</v>
      </c>
      <c r="R7" s="29">
        <v>43147</v>
      </c>
      <c r="T7" s="1">
        <v>43103</v>
      </c>
      <c r="U7" t="s">
        <v>904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-154.00000000000023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-7.2368421052631679E-2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1.458966565349544E-2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100</v>
      </c>
      <c r="D17" s="18"/>
      <c r="E17" s="18"/>
      <c r="F17" s="18">
        <f>SUM(F2:F16)</f>
        <v>2128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/>
      <c r="C23" s="10"/>
      <c r="D23" s="39"/>
      <c r="E23" s="39"/>
      <c r="F23" s="39"/>
      <c r="G23" s="39"/>
      <c r="H23" s="226"/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21.713999999999999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21.5166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21.319199999999999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21.1218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20.924399999999999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20.727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20.529599999999999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20.3322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20.134799999999998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19.9374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19.739999999999998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19.542599999999997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19.345199999999998</v>
      </c>
      <c r="Q55" s="81"/>
    </row>
    <row r="56" spans="1:18" x14ac:dyDescent="0.25">
      <c r="O56" s="81">
        <v>0.97</v>
      </c>
      <c r="P56" s="81">
        <f t="shared" si="0"/>
        <v>19.147799999999997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18.950399999999998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18.752999999999997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18.555599999999998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18.3582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18.160799999999998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17.9634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17.765999999999998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0" t="s">
        <v>231</v>
      </c>
      <c r="B81" s="770" t="s">
        <v>113</v>
      </c>
      <c r="C81" s="770" t="s">
        <v>146</v>
      </c>
      <c r="D81" s="771" t="s">
        <v>145</v>
      </c>
      <c r="E81" s="772" t="s">
        <v>147</v>
      </c>
      <c r="F81" s="773" t="s">
        <v>65</v>
      </c>
      <c r="G81" s="774" t="s">
        <v>151</v>
      </c>
      <c r="H81" s="773" t="s">
        <v>88</v>
      </c>
      <c r="I81" s="773" t="s">
        <v>154</v>
      </c>
    </row>
    <row r="82" spans="1:9" x14ac:dyDescent="0.25">
      <c r="A82" s="775"/>
      <c r="B82" s="776"/>
      <c r="C82" s="775"/>
      <c r="D82" s="777"/>
      <c r="E82" s="777"/>
      <c r="F82" s="777"/>
      <c r="G82" s="777"/>
      <c r="H82" s="778"/>
      <c r="I82" s="778"/>
    </row>
    <row r="83" spans="1:9" x14ac:dyDescent="0.25">
      <c r="A83" s="775"/>
      <c r="B83" s="776">
        <v>42746</v>
      </c>
      <c r="C83" s="775">
        <v>80</v>
      </c>
      <c r="D83" s="777">
        <v>34.020000000000003</v>
      </c>
      <c r="E83" s="777">
        <v>34.28</v>
      </c>
      <c r="F83" s="777">
        <f>C83*(E83-D83)</f>
        <v>20.799999999999841</v>
      </c>
      <c r="G83" s="777">
        <f>D83*C83</f>
        <v>2721.6000000000004</v>
      </c>
      <c r="H83" s="778">
        <f>(E83-D83)/D83</f>
        <v>7.6425631981186948E-3</v>
      </c>
      <c r="I83" s="778"/>
    </row>
    <row r="84" spans="1:9" x14ac:dyDescent="0.25">
      <c r="A84" s="775"/>
      <c r="B84" s="776">
        <v>42758</v>
      </c>
      <c r="C84" s="775">
        <v>120</v>
      </c>
      <c r="D84" s="777">
        <v>33.44</v>
      </c>
      <c r="E84" s="777">
        <v>32.71</v>
      </c>
      <c r="F84" s="777">
        <f>C84*(E84-D84)</f>
        <v>-87.599999999999625</v>
      </c>
      <c r="G84" s="777">
        <f>D84*C84</f>
        <v>4012.7999999999997</v>
      </c>
      <c r="H84" s="778">
        <f>(E84-D84)/D84</f>
        <v>-2.1830143540669766E-2</v>
      </c>
      <c r="I84" s="778"/>
    </row>
    <row r="85" spans="1:9" x14ac:dyDescent="0.25">
      <c r="A85" s="775" t="s">
        <v>372</v>
      </c>
      <c r="B85" s="776">
        <v>42760</v>
      </c>
      <c r="C85" s="775">
        <v>40</v>
      </c>
      <c r="D85" s="777">
        <v>32.961500000000001</v>
      </c>
      <c r="E85" s="777">
        <v>33.68</v>
      </c>
      <c r="F85" s="777">
        <f>C85*(E85-D85)</f>
        <v>28.739999999999952</v>
      </c>
      <c r="G85" s="777">
        <f>D85*C85</f>
        <v>1318.46</v>
      </c>
      <c r="H85" s="778">
        <f>(E85-D85)/D85</f>
        <v>2.1798158457594429E-2</v>
      </c>
      <c r="I85" s="778"/>
    </row>
    <row r="86" spans="1:9" x14ac:dyDescent="0.25">
      <c r="A86" s="775"/>
      <c r="B86" s="776">
        <v>42766</v>
      </c>
      <c r="C86" s="775">
        <v>0</v>
      </c>
      <c r="D86" s="777"/>
      <c r="E86" s="777"/>
      <c r="F86" s="777">
        <v>-46.49</v>
      </c>
      <c r="G86" s="777"/>
      <c r="H86" s="778"/>
      <c r="I86" s="778"/>
    </row>
    <row r="87" spans="1:9" x14ac:dyDescent="0.25">
      <c r="A87" s="775">
        <v>0</v>
      </c>
      <c r="B87" s="776">
        <v>42843</v>
      </c>
      <c r="C87" s="775">
        <v>80</v>
      </c>
      <c r="D87" s="777">
        <v>31.661100000000001</v>
      </c>
      <c r="E87" s="777">
        <v>30.99</v>
      </c>
      <c r="F87" s="777">
        <f t="shared" ref="F87:F106" si="3">C87*(E87-D87)</f>
        <v>-53.688000000000216</v>
      </c>
      <c r="G87" s="777">
        <f t="shared" ref="G87:G106" si="4">D87*C87</f>
        <v>2532.8879999999999</v>
      </c>
      <c r="H87" s="778">
        <f t="shared" ref="H87:H106" si="5">(E87-D87)/D87</f>
        <v>-2.1196357675507253E-2</v>
      </c>
      <c r="I87" s="779"/>
    </row>
    <row r="88" spans="1:9" x14ac:dyDescent="0.25">
      <c r="A88" s="775">
        <v>0</v>
      </c>
      <c r="B88" s="776">
        <v>42873</v>
      </c>
      <c r="C88" s="775">
        <v>160</v>
      </c>
      <c r="D88" s="777">
        <v>30.6706</v>
      </c>
      <c r="E88" s="777">
        <v>29.73</v>
      </c>
      <c r="F88" s="777">
        <f t="shared" si="3"/>
        <v>-150.49599999999998</v>
      </c>
      <c r="G88" s="777">
        <f t="shared" si="4"/>
        <v>4907.2960000000003</v>
      </c>
      <c r="H88" s="779">
        <f t="shared" si="5"/>
        <v>-3.0667805651014322E-2</v>
      </c>
      <c r="I88" s="779"/>
    </row>
    <row r="89" spans="1:9" x14ac:dyDescent="0.25">
      <c r="A89" s="775"/>
      <c r="B89" s="776">
        <v>42901</v>
      </c>
      <c r="C89" s="775">
        <v>80</v>
      </c>
      <c r="D89" s="777">
        <v>30.041799999999999</v>
      </c>
      <c r="E89" s="777">
        <v>30.43</v>
      </c>
      <c r="F89" s="777">
        <f t="shared" si="3"/>
        <v>31.056000000000097</v>
      </c>
      <c r="G89" s="777">
        <f t="shared" si="4"/>
        <v>2403.3440000000001</v>
      </c>
      <c r="H89" s="779">
        <f t="shared" si="5"/>
        <v>1.2921995353141331E-2</v>
      </c>
      <c r="I89" s="779"/>
    </row>
    <row r="90" spans="1:9" x14ac:dyDescent="0.25">
      <c r="A90" s="775">
        <v>80</v>
      </c>
      <c r="B90" s="776">
        <v>42917</v>
      </c>
      <c r="C90" s="775">
        <v>80</v>
      </c>
      <c r="D90" s="777">
        <v>29.463799999999999</v>
      </c>
      <c r="E90" s="777">
        <v>33.22</v>
      </c>
      <c r="F90" s="777">
        <f t="shared" si="3"/>
        <v>300.49599999999998</v>
      </c>
      <c r="G90" s="777">
        <f t="shared" si="4"/>
        <v>2357.1039999999998</v>
      </c>
      <c r="H90" s="779">
        <f t="shared" si="5"/>
        <v>0.12748525309023276</v>
      </c>
      <c r="I90" s="779"/>
    </row>
    <row r="91" spans="1:9" x14ac:dyDescent="0.25">
      <c r="A91" s="775">
        <v>80</v>
      </c>
      <c r="B91" s="776">
        <v>42957</v>
      </c>
      <c r="C91" s="775">
        <v>180</v>
      </c>
      <c r="D91" s="777">
        <v>22.695</v>
      </c>
      <c r="E91" s="777">
        <v>17.190000000000001</v>
      </c>
      <c r="F91" s="777">
        <f t="shared" si="3"/>
        <v>-990.89999999999986</v>
      </c>
      <c r="G91" s="777">
        <f t="shared" si="4"/>
        <v>4085.1</v>
      </c>
      <c r="H91" s="779">
        <f t="shared" si="5"/>
        <v>-0.24256444150693982</v>
      </c>
      <c r="I91" s="779"/>
    </row>
    <row r="92" spans="1:9" x14ac:dyDescent="0.25">
      <c r="A92" s="775">
        <v>80</v>
      </c>
      <c r="B92" s="776">
        <v>42983</v>
      </c>
      <c r="C92" s="775">
        <v>180</v>
      </c>
      <c r="D92" s="777">
        <v>22.695</v>
      </c>
      <c r="E92" s="777">
        <v>15.41</v>
      </c>
      <c r="F92" s="777">
        <f t="shared" si="3"/>
        <v>-1311.3</v>
      </c>
      <c r="G92" s="777">
        <f t="shared" si="4"/>
        <v>4085.1</v>
      </c>
      <c r="H92" s="779">
        <f t="shared" si="5"/>
        <v>-0.32099581405595945</v>
      </c>
      <c r="I92" s="779"/>
    </row>
    <row r="93" spans="1:9" x14ac:dyDescent="0.25">
      <c r="A93" s="775">
        <v>80</v>
      </c>
      <c r="B93" s="776">
        <v>42989</v>
      </c>
      <c r="C93" s="775">
        <v>80</v>
      </c>
      <c r="D93" s="777">
        <v>27.8643</v>
      </c>
      <c r="E93" s="777">
        <v>18.5</v>
      </c>
      <c r="F93" s="777">
        <f t="shared" si="3"/>
        <v>-749.14400000000001</v>
      </c>
      <c r="G93" s="777">
        <f t="shared" si="4"/>
        <v>2229.1440000000002</v>
      </c>
      <c r="H93" s="779">
        <f t="shared" si="5"/>
        <v>-0.33606801534580089</v>
      </c>
      <c r="I93" s="779"/>
    </row>
    <row r="94" spans="1:9" x14ac:dyDescent="0.25">
      <c r="A94" s="775">
        <v>80</v>
      </c>
      <c r="B94" s="776">
        <v>42996</v>
      </c>
      <c r="C94" s="775">
        <v>180</v>
      </c>
      <c r="D94" s="777">
        <v>22.1341</v>
      </c>
      <c r="E94" s="777">
        <v>16.989999999999998</v>
      </c>
      <c r="F94" s="777">
        <f t="shared" si="3"/>
        <v>-925.93800000000033</v>
      </c>
      <c r="G94" s="777">
        <f t="shared" si="4"/>
        <v>3984.1379999999999</v>
      </c>
      <c r="H94" s="779">
        <f t="shared" si="5"/>
        <v>-0.23240610641498871</v>
      </c>
      <c r="I94" s="779"/>
    </row>
    <row r="95" spans="1:9" x14ac:dyDescent="0.25">
      <c r="A95" s="775">
        <v>0</v>
      </c>
      <c r="B95" s="776">
        <v>43010</v>
      </c>
      <c r="C95" s="775">
        <v>100</v>
      </c>
      <c r="D95" s="777">
        <v>24.8977</v>
      </c>
      <c r="E95" s="777">
        <v>18.47</v>
      </c>
      <c r="F95" s="777">
        <f t="shared" si="3"/>
        <v>-642.77000000000021</v>
      </c>
      <c r="G95" s="777">
        <f t="shared" si="4"/>
        <v>2489.77</v>
      </c>
      <c r="H95" s="779">
        <f t="shared" si="5"/>
        <v>-0.25816440876064861</v>
      </c>
      <c r="I95" s="779"/>
    </row>
    <row r="96" spans="1:9" x14ac:dyDescent="0.25">
      <c r="A96" s="775">
        <v>0</v>
      </c>
      <c r="B96" s="776">
        <v>43011</v>
      </c>
      <c r="C96" s="775">
        <v>180</v>
      </c>
      <c r="D96" s="777">
        <v>21.809799999999999</v>
      </c>
      <c r="E96" s="777">
        <v>18.82</v>
      </c>
      <c r="F96" s="777">
        <f t="shared" si="3"/>
        <v>-538.16399999999976</v>
      </c>
      <c r="G96" s="777">
        <f t="shared" si="4"/>
        <v>3925.7639999999997</v>
      </c>
      <c r="H96" s="779">
        <f t="shared" si="5"/>
        <v>-0.13708516355033054</v>
      </c>
      <c r="I96" s="777">
        <v>21.5</v>
      </c>
    </row>
    <row r="97" spans="1:9" x14ac:dyDescent="0.25">
      <c r="A97" s="775">
        <v>0</v>
      </c>
      <c r="B97" s="776">
        <v>43012</v>
      </c>
      <c r="C97" s="775">
        <v>180</v>
      </c>
      <c r="D97" s="777">
        <v>21.81</v>
      </c>
      <c r="E97" s="777">
        <v>16.079999999999998</v>
      </c>
      <c r="F97" s="777">
        <f t="shared" si="3"/>
        <v>-1031.4000000000001</v>
      </c>
      <c r="G97" s="777">
        <f t="shared" si="4"/>
        <v>3925.7999999999997</v>
      </c>
      <c r="H97" s="779">
        <f t="shared" si="5"/>
        <v>-0.2627235213204952</v>
      </c>
      <c r="I97" s="779"/>
    </row>
    <row r="98" spans="1:9" x14ac:dyDescent="0.25">
      <c r="A98" s="775">
        <v>0</v>
      </c>
      <c r="B98" s="776">
        <v>43013</v>
      </c>
      <c r="C98" s="775">
        <v>280</v>
      </c>
      <c r="D98" s="777">
        <v>19.663499999999999</v>
      </c>
      <c r="E98" s="777">
        <v>15.68</v>
      </c>
      <c r="F98" s="777">
        <f t="shared" si="3"/>
        <v>-1115.3799999999999</v>
      </c>
      <c r="G98" s="777">
        <f t="shared" si="4"/>
        <v>5505.78</v>
      </c>
      <c r="H98" s="779">
        <f t="shared" si="5"/>
        <v>-0.2025834668294047</v>
      </c>
      <c r="I98" s="777">
        <v>19.5</v>
      </c>
    </row>
    <row r="99" spans="1:9" x14ac:dyDescent="0.25">
      <c r="A99" s="775">
        <v>100</v>
      </c>
      <c r="B99" s="776">
        <v>43031</v>
      </c>
      <c r="C99" s="775">
        <v>280</v>
      </c>
      <c r="D99" s="777">
        <v>19.663499999999999</v>
      </c>
      <c r="E99" s="777">
        <v>14.54</v>
      </c>
      <c r="F99" s="777">
        <f t="shared" si="3"/>
        <v>-1434.58</v>
      </c>
      <c r="G99" s="777">
        <f t="shared" si="4"/>
        <v>5505.78</v>
      </c>
      <c r="H99" s="779">
        <f t="shared" si="5"/>
        <v>-0.26055890355226691</v>
      </c>
      <c r="I99" s="777"/>
    </row>
    <row r="100" spans="1:9" x14ac:dyDescent="0.25">
      <c r="A100" s="775"/>
      <c r="B100" s="776">
        <v>43044</v>
      </c>
      <c r="C100" s="775">
        <v>480</v>
      </c>
      <c r="D100" s="777">
        <v>16.170000000000002</v>
      </c>
      <c r="E100" s="777">
        <v>11.4</v>
      </c>
      <c r="F100" s="777">
        <f t="shared" si="3"/>
        <v>-2289.6000000000008</v>
      </c>
      <c r="G100" s="777">
        <f t="shared" si="4"/>
        <v>7761.6</v>
      </c>
      <c r="H100" s="779">
        <f t="shared" si="5"/>
        <v>-0.29499072356215217</v>
      </c>
      <c r="I100" s="779"/>
    </row>
    <row r="101" spans="1:9" x14ac:dyDescent="0.25">
      <c r="A101" s="775">
        <v>80</v>
      </c>
      <c r="B101" s="776">
        <v>43045</v>
      </c>
      <c r="C101" s="775">
        <v>280</v>
      </c>
      <c r="D101" s="777">
        <v>19.092300000000002</v>
      </c>
      <c r="E101" s="777">
        <v>12.41</v>
      </c>
      <c r="F101" s="777">
        <f t="shared" si="3"/>
        <v>-1871.0440000000003</v>
      </c>
      <c r="G101" s="777">
        <f t="shared" si="4"/>
        <v>5345.8440000000001</v>
      </c>
      <c r="H101" s="779">
        <f t="shared" si="5"/>
        <v>-0.34999973811431839</v>
      </c>
      <c r="I101" s="780" t="s">
        <v>822</v>
      </c>
    </row>
    <row r="102" spans="1:9" x14ac:dyDescent="0.25">
      <c r="A102" s="775">
        <v>0</v>
      </c>
      <c r="B102" s="776">
        <v>43070</v>
      </c>
      <c r="C102" s="775">
        <v>200</v>
      </c>
      <c r="D102" s="777">
        <v>20.621300000000002</v>
      </c>
      <c r="E102" s="777">
        <v>15.26</v>
      </c>
      <c r="F102" s="777">
        <f t="shared" si="3"/>
        <v>-1072.2600000000004</v>
      </c>
      <c r="G102" s="777">
        <f t="shared" si="4"/>
        <v>4124.26</v>
      </c>
      <c r="H102" s="779">
        <f t="shared" si="5"/>
        <v>-0.25998845853559188</v>
      </c>
      <c r="I102" s="779"/>
    </row>
    <row r="103" spans="1:9" x14ac:dyDescent="0.25">
      <c r="A103" s="775">
        <v>200</v>
      </c>
      <c r="B103" s="776">
        <v>43077</v>
      </c>
      <c r="C103" s="775">
        <v>200</v>
      </c>
      <c r="D103" s="777">
        <v>20.62</v>
      </c>
      <c r="E103" s="777">
        <v>16.059999999999999</v>
      </c>
      <c r="F103" s="777">
        <f t="shared" si="3"/>
        <v>-912.00000000000045</v>
      </c>
      <c r="G103" s="777">
        <f t="shared" si="4"/>
        <v>4124</v>
      </c>
      <c r="H103" s="779">
        <f t="shared" si="5"/>
        <v>-0.22114451988360825</v>
      </c>
      <c r="I103" s="779"/>
    </row>
    <row r="104" spans="1:9" x14ac:dyDescent="0.25">
      <c r="A104" s="775">
        <v>200</v>
      </c>
      <c r="B104" s="776">
        <v>43082</v>
      </c>
      <c r="C104" s="775">
        <v>200</v>
      </c>
      <c r="D104" s="777">
        <v>20.52</v>
      </c>
      <c r="E104" s="777">
        <v>15.7</v>
      </c>
      <c r="F104" s="777">
        <f t="shared" si="3"/>
        <v>-964</v>
      </c>
      <c r="G104" s="777">
        <f t="shared" si="4"/>
        <v>4104</v>
      </c>
      <c r="H104" s="779">
        <f t="shared" si="5"/>
        <v>-0.23489278752436649</v>
      </c>
      <c r="I104" s="779" t="s">
        <v>185</v>
      </c>
    </row>
    <row r="105" spans="1:9" x14ac:dyDescent="0.25">
      <c r="A105" s="775">
        <v>200</v>
      </c>
      <c r="B105" s="776">
        <v>43083</v>
      </c>
      <c r="C105" s="775">
        <v>200</v>
      </c>
      <c r="D105" s="777">
        <v>20.520199999999999</v>
      </c>
      <c r="E105" s="777">
        <v>19.22</v>
      </c>
      <c r="F105" s="777">
        <f t="shared" si="3"/>
        <v>-260.04000000000008</v>
      </c>
      <c r="G105" s="777">
        <f t="shared" si="4"/>
        <v>4104.04</v>
      </c>
      <c r="H105" s="779">
        <f t="shared" si="5"/>
        <v>-6.3361955536495762E-2</v>
      </c>
      <c r="I105" s="779"/>
    </row>
    <row r="106" spans="1:9" x14ac:dyDescent="0.25">
      <c r="A106" s="775">
        <v>100</v>
      </c>
      <c r="B106" s="776">
        <v>43111</v>
      </c>
      <c r="C106" s="775">
        <v>100</v>
      </c>
      <c r="D106" s="777">
        <v>19.73</v>
      </c>
      <c r="E106" s="777">
        <v>21.74</v>
      </c>
      <c r="F106" s="777">
        <f t="shared" si="3"/>
        <v>200.9999999999998</v>
      </c>
      <c r="G106" s="777">
        <f t="shared" si="4"/>
        <v>1973</v>
      </c>
      <c r="H106" s="779">
        <f t="shared" si="5"/>
        <v>0.10187531677648241</v>
      </c>
      <c r="I106" s="779"/>
    </row>
    <row r="107" spans="1:9" x14ac:dyDescent="0.25">
      <c r="A107" s="775"/>
      <c r="B107" s="776">
        <v>43112</v>
      </c>
      <c r="C107" s="775">
        <v>0</v>
      </c>
      <c r="D107" s="777"/>
      <c r="E107" s="777">
        <v>22.07</v>
      </c>
      <c r="F107" s="777">
        <v>284.97000000000003</v>
      </c>
      <c r="G107" s="777"/>
      <c r="H107" s="779"/>
      <c r="I107" s="779"/>
    </row>
    <row r="108" spans="1:9" x14ac:dyDescent="0.25">
      <c r="A108" s="775"/>
      <c r="B108" s="776"/>
      <c r="C108" s="775"/>
      <c r="D108" s="777"/>
      <c r="E108" s="777"/>
      <c r="F108" s="777"/>
      <c r="G108" s="777"/>
      <c r="H108" s="779"/>
      <c r="I108" s="779"/>
    </row>
    <row r="109" spans="1:9" x14ac:dyDescent="0.25">
      <c r="A109" s="775"/>
      <c r="B109" s="776"/>
      <c r="C109" s="775"/>
      <c r="D109" s="777"/>
      <c r="E109" s="777"/>
      <c r="F109" s="777"/>
      <c r="G109" s="777"/>
      <c r="H109" s="779"/>
      <c r="I109" s="779"/>
    </row>
    <row r="110" spans="1:9" x14ac:dyDescent="0.25">
      <c r="A110" s="775"/>
      <c r="B110" s="776"/>
      <c r="C110" s="775"/>
      <c r="D110" s="777"/>
      <c r="E110" s="777"/>
      <c r="F110" s="777"/>
      <c r="G110" s="777"/>
      <c r="H110" s="779"/>
      <c r="I110" s="779"/>
    </row>
    <row r="111" spans="1:9" x14ac:dyDescent="0.25">
      <c r="A111" s="775"/>
      <c r="B111" s="776"/>
      <c r="C111" s="775"/>
      <c r="D111" s="777"/>
      <c r="E111" s="777"/>
      <c r="F111" s="777"/>
      <c r="G111" s="777"/>
      <c r="H111" s="779"/>
      <c r="I111" s="779"/>
    </row>
    <row r="112" spans="1:9" x14ac:dyDescent="0.25">
      <c r="A112" s="775"/>
      <c r="B112" s="776"/>
      <c r="C112" s="775"/>
      <c r="D112" s="777"/>
      <c r="E112" s="777"/>
      <c r="F112" s="777"/>
      <c r="G112" s="777"/>
      <c r="H112" s="779"/>
      <c r="I112" s="779"/>
    </row>
    <row r="113" spans="1:9" x14ac:dyDescent="0.25">
      <c r="A113" s="775"/>
      <c r="B113" s="776"/>
      <c r="C113" s="775"/>
      <c r="D113" s="777"/>
      <c r="E113" s="777"/>
      <c r="F113" s="777"/>
      <c r="G113" s="777"/>
      <c r="H113" s="779"/>
      <c r="I113" s="779"/>
    </row>
    <row r="114" spans="1:9" x14ac:dyDescent="0.25">
      <c r="A114" s="775"/>
      <c r="B114" s="776"/>
      <c r="C114" s="775"/>
      <c r="D114" s="777"/>
      <c r="E114" s="777"/>
      <c r="F114" s="777"/>
      <c r="G114" s="777"/>
      <c r="H114" s="779"/>
      <c r="I114" s="779"/>
    </row>
    <row r="115" spans="1:9" x14ac:dyDescent="0.25">
      <c r="A115" s="775"/>
      <c r="B115" s="776"/>
      <c r="C115" s="775"/>
      <c r="D115" s="777"/>
      <c r="E115" s="777"/>
      <c r="F115" s="777"/>
      <c r="G115" s="777"/>
      <c r="H115" s="779"/>
      <c r="I115" s="779"/>
    </row>
    <row r="116" spans="1:9" x14ac:dyDescent="0.25">
      <c r="A116" s="775"/>
      <c r="B116" s="776"/>
      <c r="C116" s="775"/>
      <c r="D116" s="777"/>
      <c r="E116" s="777"/>
      <c r="F116" s="777"/>
      <c r="G116" s="777"/>
      <c r="H116" s="779"/>
      <c r="I116" s="779"/>
    </row>
    <row r="117" spans="1:9" x14ac:dyDescent="0.25">
      <c r="A117" s="775"/>
      <c r="B117" s="776"/>
      <c r="C117" s="775"/>
      <c r="D117" s="777"/>
      <c r="E117" s="777"/>
      <c r="F117" s="777"/>
      <c r="G117" s="777"/>
      <c r="H117" s="779"/>
      <c r="I117" s="779"/>
    </row>
    <row r="118" spans="1:9" x14ac:dyDescent="0.25">
      <c r="A118" s="775"/>
      <c r="B118" s="776"/>
      <c r="C118" s="775"/>
      <c r="D118" s="777"/>
      <c r="E118" s="777"/>
      <c r="F118" s="777"/>
      <c r="G118" s="777"/>
      <c r="H118" s="779"/>
      <c r="I118" s="779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59" priority="97">
      <formula>F26&gt;0</formula>
    </cfRule>
    <cfRule type="expression" dxfId="258" priority="98">
      <formula>F26&lt;0</formula>
    </cfRule>
  </conditionalFormatting>
  <conditionalFormatting sqref="H26:H28">
    <cfRule type="expression" dxfId="257" priority="95">
      <formula>H26&gt;0</formula>
    </cfRule>
    <cfRule type="expression" dxfId="256" priority="96">
      <formula>H26&lt;0</formula>
    </cfRule>
  </conditionalFormatting>
  <conditionalFormatting sqref="H29:H30">
    <cfRule type="expression" dxfId="255" priority="91">
      <formula>H29&gt;0</formula>
    </cfRule>
    <cfRule type="expression" dxfId="254" priority="92">
      <formula>H29&lt;0</formula>
    </cfRule>
  </conditionalFormatting>
  <conditionalFormatting sqref="H31:H55">
    <cfRule type="expression" dxfId="253" priority="89">
      <formula>H31&gt;0</formula>
    </cfRule>
    <cfRule type="expression" dxfId="252" priority="90">
      <formula>H31&lt;0</formula>
    </cfRule>
  </conditionalFormatting>
  <conditionalFormatting sqref="F23:F24">
    <cfRule type="expression" dxfId="251" priority="87">
      <formula>F23&gt;0</formula>
    </cfRule>
    <cfRule type="expression" dxfId="250" priority="88">
      <formula>F23&lt;0</formula>
    </cfRule>
  </conditionalFormatting>
  <conditionalFormatting sqref="H23:H24">
    <cfRule type="expression" dxfId="249" priority="85">
      <formula>H23&gt;0</formula>
    </cfRule>
    <cfRule type="expression" dxfId="248" priority="86">
      <formula>H23&lt;0</formula>
    </cfRule>
  </conditionalFormatting>
  <conditionalFormatting sqref="F31">
    <cfRule type="expression" dxfId="247" priority="83">
      <formula>F31&gt;0</formula>
    </cfRule>
    <cfRule type="expression" dxfId="246" priority="84">
      <formula>F31&lt;0</formula>
    </cfRule>
  </conditionalFormatting>
  <conditionalFormatting sqref="I25:I27">
    <cfRule type="expression" dxfId="245" priority="81">
      <formula>I25&gt;0</formula>
    </cfRule>
    <cfRule type="expression" dxfId="244" priority="82">
      <formula>I25&lt;0</formula>
    </cfRule>
  </conditionalFormatting>
  <conditionalFormatting sqref="I28">
    <cfRule type="expression" dxfId="243" priority="79">
      <formula>I28&gt;0</formula>
    </cfRule>
    <cfRule type="expression" dxfId="242" priority="80">
      <formula>I28&lt;0</formula>
    </cfRule>
  </conditionalFormatting>
  <conditionalFormatting sqref="I29">
    <cfRule type="expression" dxfId="241" priority="77">
      <formula>I29&gt;0</formula>
    </cfRule>
    <cfRule type="expression" dxfId="240" priority="78">
      <formula>I29&lt;0</formula>
    </cfRule>
  </conditionalFormatting>
  <conditionalFormatting sqref="I30:I33 I35 I38 I40:I55">
    <cfRule type="expression" dxfId="239" priority="75">
      <formula>I30&gt;0</formula>
    </cfRule>
    <cfRule type="expression" dxfId="238" priority="76">
      <formula>I30&lt;0</formula>
    </cfRule>
  </conditionalFormatting>
  <conditionalFormatting sqref="I21:I24">
    <cfRule type="expression" dxfId="237" priority="73">
      <formula>I21&gt;0</formula>
    </cfRule>
    <cfRule type="expression" dxfId="236" priority="74">
      <formula>I21&lt;0</formula>
    </cfRule>
  </conditionalFormatting>
  <conditionalFormatting sqref="F32:F55">
    <cfRule type="expression" dxfId="235" priority="71">
      <formula>F32&gt;0</formula>
    </cfRule>
    <cfRule type="expression" dxfId="234" priority="72">
      <formula>F32&lt;0</formula>
    </cfRule>
  </conditionalFormatting>
  <conditionalFormatting sqref="Q8">
    <cfRule type="expression" dxfId="233" priority="67">
      <formula>Q8&gt;0</formula>
    </cfRule>
    <cfRule type="expression" dxfId="232" priority="68">
      <formula>Q8&lt;0</formula>
    </cfRule>
  </conditionalFormatting>
  <conditionalFormatting sqref="Q7">
    <cfRule type="expression" dxfId="231" priority="69">
      <formula>Q7&gt;0</formula>
    </cfRule>
    <cfRule type="expression" dxfId="230" priority="70">
      <formula>Q7&lt;0</formula>
    </cfRule>
  </conditionalFormatting>
  <conditionalFormatting sqref="F82">
    <cfRule type="expression" dxfId="229" priority="55">
      <formula>F82&gt;0</formula>
    </cfRule>
    <cfRule type="expression" dxfId="228" priority="56">
      <formula>F82&lt;0</formula>
    </cfRule>
  </conditionalFormatting>
  <conditionalFormatting sqref="H82">
    <cfRule type="expression" dxfId="227" priority="53">
      <formula>H82&gt;0</formula>
    </cfRule>
    <cfRule type="expression" dxfId="226" priority="54">
      <formula>H82&lt;0</formula>
    </cfRule>
  </conditionalFormatting>
  <conditionalFormatting sqref="I82">
    <cfRule type="expression" dxfId="225" priority="41">
      <formula>I82&gt;0</formula>
    </cfRule>
    <cfRule type="expression" dxfId="224" priority="42">
      <formula>I82&lt;0</formula>
    </cfRule>
  </conditionalFormatting>
  <conditionalFormatting sqref="F25">
    <cfRule type="expression" dxfId="223" priority="37">
      <formula>F25&gt;0</formula>
    </cfRule>
    <cfRule type="expression" dxfId="222" priority="38">
      <formula>F25&lt;0</formula>
    </cfRule>
  </conditionalFormatting>
  <conditionalFormatting sqref="H25">
    <cfRule type="expression" dxfId="221" priority="35">
      <formula>H25&gt;0</formula>
    </cfRule>
    <cfRule type="expression" dxfId="220" priority="36">
      <formula>H25&lt;0</formula>
    </cfRule>
  </conditionalFormatting>
  <conditionalFormatting sqref="F88:F92">
    <cfRule type="expression" dxfId="219" priority="33">
      <formula>F88&gt;0</formula>
    </cfRule>
    <cfRule type="expression" dxfId="218" priority="34">
      <formula>F88&lt;0</formula>
    </cfRule>
  </conditionalFormatting>
  <conditionalFormatting sqref="H88:H90">
    <cfRule type="expression" dxfId="217" priority="31">
      <formula>H88&gt;0</formula>
    </cfRule>
    <cfRule type="expression" dxfId="216" priority="32">
      <formula>H88&lt;0</formula>
    </cfRule>
  </conditionalFormatting>
  <conditionalFormatting sqref="H91:H92">
    <cfRule type="expression" dxfId="215" priority="29">
      <formula>H91&gt;0</formula>
    </cfRule>
    <cfRule type="expression" dxfId="214" priority="30">
      <formula>H91&lt;0</formula>
    </cfRule>
  </conditionalFormatting>
  <conditionalFormatting sqref="H93:H118">
    <cfRule type="expression" dxfId="213" priority="27">
      <formula>H93&gt;0</formula>
    </cfRule>
    <cfRule type="expression" dxfId="212" priority="28">
      <formula>H93&lt;0</formula>
    </cfRule>
  </conditionalFormatting>
  <conditionalFormatting sqref="F83:F86">
    <cfRule type="expression" dxfId="211" priority="25">
      <formula>F83&gt;0</formula>
    </cfRule>
    <cfRule type="expression" dxfId="210" priority="26">
      <formula>F83&lt;0</formula>
    </cfRule>
  </conditionalFormatting>
  <conditionalFormatting sqref="H83:H86">
    <cfRule type="expression" dxfId="209" priority="23">
      <formula>H83&gt;0</formula>
    </cfRule>
    <cfRule type="expression" dxfId="208" priority="24">
      <formula>H83&lt;0</formula>
    </cfRule>
  </conditionalFormatting>
  <conditionalFormatting sqref="F93">
    <cfRule type="expression" dxfId="207" priority="21">
      <formula>F93&gt;0</formula>
    </cfRule>
    <cfRule type="expression" dxfId="206" priority="22">
      <formula>F93&lt;0</formula>
    </cfRule>
  </conditionalFormatting>
  <conditionalFormatting sqref="I87:I89">
    <cfRule type="expression" dxfId="205" priority="19">
      <formula>I87&gt;0</formula>
    </cfRule>
    <cfRule type="expression" dxfId="204" priority="20">
      <formula>I87&lt;0</formula>
    </cfRule>
  </conditionalFormatting>
  <conditionalFormatting sqref="I90">
    <cfRule type="expression" dxfId="203" priority="17">
      <formula>I90&gt;0</formula>
    </cfRule>
    <cfRule type="expression" dxfId="202" priority="18">
      <formula>I90&lt;0</formula>
    </cfRule>
  </conditionalFormatting>
  <conditionalFormatting sqref="I91">
    <cfRule type="expression" dxfId="201" priority="15">
      <formula>I91&gt;0</formula>
    </cfRule>
    <cfRule type="expression" dxfId="200" priority="16">
      <formula>I91&lt;0</formula>
    </cfRule>
  </conditionalFormatting>
  <conditionalFormatting sqref="I92:I95 I97 I100 I102:I118">
    <cfRule type="expression" dxfId="199" priority="13">
      <formula>I92&gt;0</formula>
    </cfRule>
    <cfRule type="expression" dxfId="198" priority="14">
      <formula>I92&lt;0</formula>
    </cfRule>
  </conditionalFormatting>
  <conditionalFormatting sqref="I83:I86">
    <cfRule type="expression" dxfId="197" priority="11">
      <formula>I83&gt;0</formula>
    </cfRule>
    <cfRule type="expression" dxfId="196" priority="12">
      <formula>I83&lt;0</formula>
    </cfRule>
  </conditionalFormatting>
  <conditionalFormatting sqref="F94:F118">
    <cfRule type="expression" dxfId="195" priority="9">
      <formula>F94&gt;0</formula>
    </cfRule>
    <cfRule type="expression" dxfId="194" priority="10">
      <formula>F94&lt;0</formula>
    </cfRule>
  </conditionalFormatting>
  <conditionalFormatting sqref="F87">
    <cfRule type="expression" dxfId="193" priority="7">
      <formula>F87&gt;0</formula>
    </cfRule>
    <cfRule type="expression" dxfId="192" priority="8">
      <formula>F87&lt;0</formula>
    </cfRule>
  </conditionalFormatting>
  <conditionalFormatting sqref="H87">
    <cfRule type="expression" dxfId="191" priority="5">
      <formula>H87&gt;0</formula>
    </cfRule>
    <cfRule type="expression" dxfId="190" priority="6">
      <formula>H87&lt;0</formula>
    </cfRule>
  </conditionalFormatting>
  <conditionalFormatting sqref="F21:F22">
    <cfRule type="expression" dxfId="189" priority="3">
      <formula>F21&gt;0</formula>
    </cfRule>
    <cfRule type="expression" dxfId="188" priority="4">
      <formula>F21&lt;0</formula>
    </cfRule>
  </conditionalFormatting>
  <conditionalFormatting sqref="H21:H22">
    <cfRule type="expression" dxfId="187" priority="1">
      <formula>H21&gt;0</formula>
    </cfRule>
    <cfRule type="expression" dxfId="186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104.7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104.7</v>
      </c>
      <c r="R4" s="487">
        <v>-3.6799999999999999E-2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02" t="s">
        <v>78</v>
      </c>
      <c r="P40" s="80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115.17000000000002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114.123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113.07600000000001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112.02900000000001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110.98200000000001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109.935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108.88800000000001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107.84100000000001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106.79400000000001</v>
      </c>
      <c r="Q49" s="2"/>
      <c r="T49" s="91" t="s">
        <v>103</v>
      </c>
      <c r="U49" s="86" t="s">
        <v>535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105.747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104.7</v>
      </c>
      <c r="Q51" s="2"/>
      <c r="T51" s="91" t="s">
        <v>104</v>
      </c>
      <c r="U51" s="86" t="s">
        <v>688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103.65300000000001</v>
      </c>
      <c r="Q52" s="2"/>
      <c r="T52" s="91" t="s">
        <v>105</v>
      </c>
      <c r="U52" s="86" t="s">
        <v>689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102.60599999999999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101.559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100.512</v>
      </c>
      <c r="T55" s="91" t="s">
        <v>107</v>
      </c>
      <c r="U55" s="86" t="s">
        <v>690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99.465000000000003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98.417999999999992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97.371000000000009</v>
      </c>
      <c r="T58" s="91" t="s">
        <v>108</v>
      </c>
      <c r="U58" s="86" t="s">
        <v>558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96.324000000000012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95.277000000000001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94.23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5" priority="15">
      <formula>F25&gt;0</formula>
    </cfRule>
    <cfRule type="expression" dxfId="184" priority="16">
      <formula>F25&lt;0</formula>
    </cfRule>
  </conditionalFormatting>
  <conditionalFormatting sqref="F32:F70">
    <cfRule type="expression" dxfId="183" priority="11">
      <formula>F32&gt;0</formula>
    </cfRule>
    <cfRule type="expression" dxfId="182" priority="12">
      <formula>F32&lt;0</formula>
    </cfRule>
  </conditionalFormatting>
  <conditionalFormatting sqref="F32:F70">
    <cfRule type="expression" dxfId="181" priority="13">
      <formula>F32&gt;0</formula>
    </cfRule>
    <cfRule type="expression" dxfId="180" priority="14">
      <formula>F32&lt;0</formula>
    </cfRule>
  </conditionalFormatting>
  <conditionalFormatting sqref="H25 H30:H70">
    <cfRule type="expression" dxfId="179" priority="9">
      <formula>H25&gt;0</formula>
    </cfRule>
    <cfRule type="expression" dxfId="178" priority="10">
      <formula>H25&lt;0</formula>
    </cfRule>
  </conditionalFormatting>
  <conditionalFormatting sqref="F26:F29">
    <cfRule type="expression" dxfId="177" priority="7">
      <formula>F26&gt;0</formula>
    </cfRule>
    <cfRule type="expression" dxfId="176" priority="8">
      <formula>F26&lt;0</formula>
    </cfRule>
  </conditionalFormatting>
  <conditionalFormatting sqref="H26:H29">
    <cfRule type="expression" dxfId="175" priority="5">
      <formula>H26&gt;0</formula>
    </cfRule>
    <cfRule type="expression" dxfId="174" priority="6">
      <formula>H26&lt;0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729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7.66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7.66</v>
      </c>
      <c r="R4" s="487">
        <v>-2.3E-2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729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516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02" t="s">
        <v>78</v>
      </c>
      <c r="P40" s="802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8.4260000000000002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8.349400000000001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8.2728000000000002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8.196200000000001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8.1196000000000002</v>
      </c>
      <c r="Q45" s="2"/>
      <c r="T45" s="91" t="s">
        <v>99</v>
      </c>
      <c r="U45" s="86" t="s">
        <v>691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8.043000000000001</v>
      </c>
      <c r="Q46" s="2"/>
      <c r="T46" s="91" t="s">
        <v>100</v>
      </c>
      <c r="U46" s="86" t="s">
        <v>692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7.9664000000000001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7.8898000000000001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7.8132000000000001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7.7366000000000001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7.66</v>
      </c>
      <c r="Q51" s="2"/>
      <c r="T51" s="91" t="s">
        <v>104</v>
      </c>
      <c r="U51" s="86" t="s">
        <v>693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7.5834000000000001</v>
      </c>
      <c r="Q52" s="2"/>
      <c r="T52" s="91" t="s">
        <v>105</v>
      </c>
      <c r="U52" s="86" t="s">
        <v>540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7.5068000000000001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7.4302000000000001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7.3536000000000001</v>
      </c>
      <c r="T55" s="91" t="s">
        <v>107</v>
      </c>
      <c r="U55" s="86" t="s">
        <v>694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7.2770000000000001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7.2004000000000001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7.1238000000000001</v>
      </c>
      <c r="T58" s="91" t="s">
        <v>108</v>
      </c>
      <c r="U58" s="86" t="s">
        <v>580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7.0472000000000001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6.9706000000000001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6.8940000000000001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9" priority="25">
      <formula>F34&gt;0</formula>
    </cfRule>
    <cfRule type="expression" dxfId="168" priority="26">
      <formula>F34&lt;0</formula>
    </cfRule>
  </conditionalFormatting>
  <conditionalFormatting sqref="H124:H131">
    <cfRule type="expression" dxfId="167" priority="23">
      <formula>H124&gt;0</formula>
    </cfRule>
    <cfRule type="expression" dxfId="166" priority="24">
      <formula>H124&lt;0</formula>
    </cfRule>
  </conditionalFormatting>
  <conditionalFormatting sqref="H132">
    <cfRule type="expression" dxfId="165" priority="21">
      <formula>H132&gt;0</formula>
    </cfRule>
    <cfRule type="expression" dxfId="164" priority="22">
      <formula>H132&lt;0</formula>
    </cfRule>
  </conditionalFormatting>
  <conditionalFormatting sqref="Q8">
    <cfRule type="expression" dxfId="163" priority="11">
      <formula>Q8&gt;0</formula>
    </cfRule>
    <cfRule type="expression" dxfId="162" priority="12">
      <formula>Q8&lt;0</formula>
    </cfRule>
  </conditionalFormatting>
  <conditionalFormatting sqref="Q7">
    <cfRule type="expression" dxfId="161" priority="13">
      <formula>Q7&gt;0</formula>
    </cfRule>
    <cfRule type="expression" dxfId="160" priority="14">
      <formula>Q7&lt;0</formula>
    </cfRule>
  </conditionalFormatting>
  <conditionalFormatting sqref="F36:F39">
    <cfRule type="expression" dxfId="159" priority="9">
      <formula>F36&gt;0</formula>
    </cfRule>
    <cfRule type="expression" dxfId="158" priority="10">
      <formula>F36&lt;0</formula>
    </cfRule>
  </conditionalFormatting>
  <conditionalFormatting sqref="H36:H39">
    <cfRule type="expression" dxfId="157" priority="7">
      <formula>H36&gt;0</formula>
    </cfRule>
    <cfRule type="expression" dxfId="156" priority="8">
      <formula>H36&lt;0</formula>
    </cfRule>
  </conditionalFormatting>
  <conditionalFormatting sqref="K65:K99">
    <cfRule type="expression" dxfId="155" priority="5">
      <formula>K65&gt;0</formula>
    </cfRule>
    <cfRule type="expression" dxfId="154" priority="6">
      <formula>K65&lt;0</formula>
    </cfRule>
  </conditionalFormatting>
  <conditionalFormatting sqref="K72">
    <cfRule type="expression" dxfId="153" priority="3">
      <formula>K72&gt;0</formula>
    </cfRule>
    <cfRule type="expression" dxfId="152" priority="4">
      <formula>K72&lt;0</formula>
    </cfRule>
  </conditionalFormatting>
  <conditionalFormatting sqref="M69">
    <cfRule type="expression" dxfId="151" priority="1">
      <formula>M69&gt;0</formula>
    </cfRule>
    <cfRule type="expression" dxfId="15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F1" s="757"/>
    </row>
    <row r="2" spans="1:40" x14ac:dyDescent="0.25">
      <c r="A2" s="6" t="s">
        <v>55</v>
      </c>
      <c r="B2" s="78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5"/>
      <c r="O2" s="11" t="s">
        <v>57</v>
      </c>
      <c r="Q2">
        <f>C24-H24</f>
        <v>50</v>
      </c>
      <c r="T2" s="1">
        <v>43096</v>
      </c>
      <c r="U2" t="s">
        <v>870</v>
      </c>
      <c r="W2" t="s">
        <v>868</v>
      </c>
      <c r="X2" s="756" t="s">
        <v>852</v>
      </c>
      <c r="Y2" s="782">
        <v>11.5</v>
      </c>
      <c r="Z2" s="782">
        <v>11.5</v>
      </c>
      <c r="AA2" s="2">
        <v>10.6</v>
      </c>
      <c r="AB2" s="2">
        <v>9.5</v>
      </c>
      <c r="AC2" s="782">
        <v>9.83</v>
      </c>
      <c r="AD2">
        <v>11</v>
      </c>
      <c r="AE2" s="755">
        <v>9.98</v>
      </c>
      <c r="AF2" s="787"/>
      <c r="AG2" s="11"/>
      <c r="AH2" s="11"/>
      <c r="AI2" s="11"/>
      <c r="AJ2" s="11"/>
      <c r="AK2" s="757"/>
      <c r="AL2" s="757"/>
      <c r="AM2" s="757"/>
      <c r="AN2" s="757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6"/>
      <c r="O3" s="11" t="s">
        <v>58</v>
      </c>
      <c r="Q3" s="225">
        <f>(F24-K24-M24)/Q2</f>
        <v>71.650000000000006</v>
      </c>
      <c r="U3" t="s">
        <v>871</v>
      </c>
      <c r="X3" s="756" t="s">
        <v>853</v>
      </c>
      <c r="Y3" s="782">
        <v>25</v>
      </c>
      <c r="Z3" s="782">
        <v>24.6</v>
      </c>
      <c r="AA3" s="2">
        <v>23.3</v>
      </c>
      <c r="AB3" s="2">
        <v>20.6</v>
      </c>
      <c r="AC3" s="782">
        <v>23.3</v>
      </c>
      <c r="AD3">
        <v>26.3</v>
      </c>
      <c r="AE3" s="755">
        <v>24.8</v>
      </c>
      <c r="AF3" s="787"/>
      <c r="AG3" s="757"/>
      <c r="AH3" s="757"/>
      <c r="AI3" s="757"/>
      <c r="AJ3" s="757"/>
      <c r="AK3" s="755"/>
      <c r="AM3" s="755"/>
      <c r="AN3" s="755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4">
        <v>78.37</v>
      </c>
      <c r="R4" s="487">
        <v>-4.1099999999999998E-2</v>
      </c>
      <c r="U4" t="s">
        <v>872</v>
      </c>
      <c r="X4" s="756" t="s">
        <v>854</v>
      </c>
      <c r="Y4" s="782">
        <v>28.5</v>
      </c>
      <c r="Z4" s="782">
        <v>28.8</v>
      </c>
      <c r="AA4" s="2">
        <v>26.9</v>
      </c>
      <c r="AB4" s="2">
        <v>23.9</v>
      </c>
      <c r="AC4" s="782">
        <v>26.6</v>
      </c>
      <c r="AD4">
        <v>30</v>
      </c>
      <c r="AE4" s="755">
        <v>28.5</v>
      </c>
      <c r="AF4" s="787"/>
      <c r="AG4" s="787"/>
      <c r="AH4" s="787"/>
      <c r="AI4" s="787"/>
      <c r="AJ4" s="787"/>
      <c r="AK4" s="755"/>
      <c r="AM4" s="755"/>
      <c r="AN4" s="755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3918.5</v>
      </c>
      <c r="T5" s="1"/>
      <c r="X5" s="756" t="s">
        <v>855</v>
      </c>
      <c r="Y5" s="782">
        <v>35.200000000000003</v>
      </c>
      <c r="Z5" s="782">
        <v>34.5</v>
      </c>
      <c r="AA5" s="2">
        <v>33.1</v>
      </c>
      <c r="AB5" s="2">
        <v>28.5</v>
      </c>
      <c r="AC5" s="782">
        <v>31.6</v>
      </c>
      <c r="AD5">
        <v>33.799999999999997</v>
      </c>
      <c r="AE5" s="793" t="s">
        <v>879</v>
      </c>
      <c r="AF5" s="787"/>
      <c r="AG5" s="787"/>
      <c r="AH5" s="787"/>
      <c r="AI5" s="787"/>
      <c r="AJ5" s="787"/>
      <c r="AK5" s="755"/>
      <c r="AM5" s="755"/>
      <c r="AN5" s="755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882</v>
      </c>
      <c r="X6" s="756" t="s">
        <v>856</v>
      </c>
      <c r="Y6" s="782">
        <v>56</v>
      </c>
      <c r="Z6" s="782">
        <v>56.1</v>
      </c>
      <c r="AA6" s="2">
        <v>53.9</v>
      </c>
      <c r="AB6" s="2">
        <v>47.4</v>
      </c>
      <c r="AC6" s="782">
        <v>52.9</v>
      </c>
      <c r="AD6">
        <v>59.7</v>
      </c>
      <c r="AE6" s="755">
        <v>55.4</v>
      </c>
      <c r="AF6" s="787"/>
      <c r="AG6" s="787"/>
      <c r="AH6" s="787"/>
      <c r="AI6" s="787"/>
      <c r="AJ6" s="787"/>
      <c r="AK6" s="755"/>
      <c r="AM6" s="755"/>
      <c r="AN6" s="755"/>
    </row>
    <row r="7" spans="1:40" x14ac:dyDescent="0.25">
      <c r="A7" s="622"/>
      <c r="B7" s="788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1146.1299999999896</v>
      </c>
      <c r="R7">
        <v>50</v>
      </c>
      <c r="X7" s="756" t="s">
        <v>857</v>
      </c>
      <c r="Y7" s="782">
        <v>156.13</v>
      </c>
      <c r="Z7" s="782">
        <v>155.49</v>
      </c>
      <c r="AA7" s="2">
        <v>147.97</v>
      </c>
      <c r="AB7" s="2">
        <v>129.78</v>
      </c>
      <c r="AC7" s="782">
        <v>144.18</v>
      </c>
      <c r="AD7">
        <v>160.76</v>
      </c>
      <c r="AE7" s="755">
        <v>118.63</v>
      </c>
      <c r="AF7" s="787"/>
      <c r="AG7" s="787"/>
      <c r="AH7" s="787"/>
      <c r="AI7" s="787"/>
      <c r="AJ7" s="787"/>
      <c r="AK7" s="755"/>
      <c r="AM7" s="755"/>
      <c r="AN7" s="755"/>
    </row>
    <row r="8" spans="1:40" x14ac:dyDescent="0.25">
      <c r="A8" s="622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335.99999999999955</v>
      </c>
      <c r="T8" s="1">
        <v>43109</v>
      </c>
      <c r="U8" t="s">
        <v>919</v>
      </c>
      <c r="X8" s="756" t="s">
        <v>869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E8" s="753">
        <f>(AE7-AD7+AD5)/(AD7-AD5)</f>
        <v>-6.5611216131064895E-2</v>
      </c>
      <c r="AF8" s="755"/>
      <c r="AG8" s="787"/>
      <c r="AH8" s="787"/>
      <c r="AI8" s="787"/>
      <c r="AJ8" s="787"/>
      <c r="AK8" s="755"/>
      <c r="AM8" s="755"/>
      <c r="AN8" s="755"/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9.3789253314724222E-2</v>
      </c>
      <c r="U9" t="s">
        <v>939</v>
      </c>
      <c r="X9" s="756" t="s">
        <v>880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 s="755"/>
      <c r="AG9" s="787"/>
      <c r="AH9" s="787"/>
      <c r="AI9" s="787"/>
      <c r="AJ9" s="787"/>
    </row>
    <row r="10" spans="1:40" ht="18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6" t="s">
        <v>881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755"/>
      <c r="AG10" s="11"/>
      <c r="AH10" s="11"/>
      <c r="AI10" s="11"/>
      <c r="AJ10" s="11"/>
      <c r="AK10" s="781"/>
    </row>
    <row r="11" spans="1:40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2.6540768151078219E-2</v>
      </c>
      <c r="R11">
        <f>0.52</f>
        <v>0.52</v>
      </c>
      <c r="T11" s="1">
        <v>43112</v>
      </c>
      <c r="U11" t="s">
        <v>936</v>
      </c>
      <c r="X11" s="756" t="s">
        <v>866</v>
      </c>
      <c r="Y11" s="753">
        <f t="shared" ref="Y11:AD11" si="3">SUM(Y2:Y5)/Y7</f>
        <v>0.64177288157304813</v>
      </c>
      <c r="Z11" s="753">
        <f t="shared" si="3"/>
        <v>0.63926940639269403</v>
      </c>
      <c r="AA11" s="753">
        <f t="shared" si="3"/>
        <v>0.63458809218084755</v>
      </c>
      <c r="AB11" s="753">
        <f t="shared" si="3"/>
        <v>0.63569116967175221</v>
      </c>
      <c r="AC11" s="753">
        <f t="shared" si="3"/>
        <v>0.63344430572894994</v>
      </c>
      <c r="AD11" s="753">
        <f t="shared" si="3"/>
        <v>0.62888778303060466</v>
      </c>
      <c r="AE11" s="753">
        <f>SUM(AE2:AE5)/(AE7-AD5)</f>
        <v>0.74596251326181773</v>
      </c>
      <c r="AG11" s="781"/>
      <c r="AH11" s="11"/>
      <c r="AI11" s="11"/>
      <c r="AJ11" s="11"/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7"/>
      <c r="Z12" s="757"/>
      <c r="AB12" s="756"/>
      <c r="AC12" s="622"/>
      <c r="AD12" s="622"/>
      <c r="AE12" s="755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940</v>
      </c>
      <c r="W13" t="s">
        <v>867</v>
      </c>
      <c r="X13" s="756" t="s">
        <v>858</v>
      </c>
      <c r="Y13" s="758">
        <v>105.2</v>
      </c>
      <c r="Z13" s="758">
        <v>99.7</v>
      </c>
      <c r="AA13" s="81">
        <v>95.1</v>
      </c>
      <c r="AB13" s="2">
        <v>78.8</v>
      </c>
      <c r="AC13" s="782">
        <v>82.2</v>
      </c>
      <c r="AD13" s="755">
        <v>89.5</v>
      </c>
      <c r="AE13" s="755">
        <v>80.099999999999994</v>
      </c>
      <c r="AG13" s="755"/>
      <c r="AH13" s="755"/>
      <c r="AJ13" s="757"/>
      <c r="AK13" s="757"/>
      <c r="AL13" s="757"/>
      <c r="AM13" s="757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938</v>
      </c>
      <c r="X14" s="756" t="s">
        <v>859</v>
      </c>
      <c r="Y14" s="758">
        <v>1.77</v>
      </c>
      <c r="Z14" s="758">
        <v>2.23</v>
      </c>
      <c r="AA14" s="81">
        <v>1.39</v>
      </c>
      <c r="AB14" s="2">
        <v>1.42</v>
      </c>
      <c r="AC14" s="782">
        <v>1.56</v>
      </c>
      <c r="AD14" s="755">
        <v>1.73</v>
      </c>
      <c r="AE14" s="755">
        <v>1.36</v>
      </c>
      <c r="AG14" s="755"/>
      <c r="AH14" s="755"/>
      <c r="AJ14" s="755"/>
      <c r="AL14" s="755"/>
      <c r="AM14" s="755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937</v>
      </c>
      <c r="X15" s="756" t="s">
        <v>860</v>
      </c>
      <c r="Y15" s="758">
        <v>50.7</v>
      </c>
      <c r="Z15" s="758">
        <v>50.6</v>
      </c>
      <c r="AA15" s="81">
        <v>47</v>
      </c>
      <c r="AB15" s="2">
        <v>39.799999999999997</v>
      </c>
      <c r="AC15" s="782">
        <v>42.3</v>
      </c>
      <c r="AD15" s="755">
        <v>47.2</v>
      </c>
      <c r="AE15" s="755">
        <v>41.6</v>
      </c>
      <c r="AG15" s="755"/>
      <c r="AH15" s="755"/>
      <c r="AJ15" s="755"/>
      <c r="AL15" s="755"/>
      <c r="AM15" s="755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6" t="s">
        <v>861</v>
      </c>
      <c r="Y16" s="758">
        <v>1.1599999999999999</v>
      </c>
      <c r="Z16" s="758">
        <v>1.06</v>
      </c>
      <c r="AA16" s="81">
        <v>0.98</v>
      </c>
      <c r="AB16" s="2">
        <v>0.88</v>
      </c>
      <c r="AC16" s="782">
        <v>0.75</v>
      </c>
      <c r="AD16" s="755">
        <v>0.83</v>
      </c>
      <c r="AE16" s="755">
        <v>0.54</v>
      </c>
      <c r="AG16" s="755"/>
      <c r="AH16" s="755"/>
      <c r="AJ16" s="755"/>
      <c r="AL16" s="755"/>
      <c r="AM16" s="755"/>
    </row>
    <row r="17" spans="1:39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957</v>
      </c>
      <c r="X17" s="756" t="s">
        <v>862</v>
      </c>
      <c r="Y17" s="758">
        <v>1.28</v>
      </c>
      <c r="Z17" s="758">
        <v>1.1499999999999999</v>
      </c>
      <c r="AA17" s="81">
        <v>0.61</v>
      </c>
      <c r="AB17" s="2">
        <v>0.56000000000000005</v>
      </c>
      <c r="AC17" s="782">
        <v>0.76</v>
      </c>
      <c r="AD17" s="755">
        <v>0.75</v>
      </c>
      <c r="AE17" s="755">
        <v>0.45</v>
      </c>
      <c r="AG17" s="755"/>
      <c r="AH17" s="755"/>
      <c r="AJ17" s="755"/>
      <c r="AL17" s="755"/>
      <c r="AM17" s="755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974</v>
      </c>
      <c r="X18" s="756" t="s">
        <v>863</v>
      </c>
      <c r="Y18" s="758">
        <v>13.1</v>
      </c>
      <c r="Z18" s="758">
        <v>13.1</v>
      </c>
      <c r="AA18" s="81">
        <v>11.3</v>
      </c>
      <c r="AB18" s="2">
        <v>9.99</v>
      </c>
      <c r="AC18" s="782">
        <v>8.75</v>
      </c>
      <c r="AD18" s="755">
        <v>8.01</v>
      </c>
      <c r="AE18" s="755">
        <v>7.65</v>
      </c>
      <c r="AG18" s="755"/>
      <c r="AH18" s="755"/>
      <c r="AJ18" s="755"/>
      <c r="AL18" s="755"/>
      <c r="AM18" s="755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941</v>
      </c>
      <c r="X19" s="756" t="s">
        <v>864</v>
      </c>
      <c r="Y19" s="758">
        <v>0.03</v>
      </c>
      <c r="Z19" s="758">
        <v>0.05</v>
      </c>
      <c r="AA19" s="81" t="s">
        <v>879</v>
      </c>
      <c r="AB19" s="2" t="s">
        <v>879</v>
      </c>
      <c r="AC19" s="782" t="s">
        <v>879</v>
      </c>
      <c r="AD19" s="755" t="s">
        <v>879</v>
      </c>
      <c r="AE19" s="755" t="s">
        <v>879</v>
      </c>
      <c r="AG19" s="755"/>
      <c r="AH19" s="755"/>
      <c r="AJ19" s="755"/>
      <c r="AL19" s="755"/>
      <c r="AM19" s="755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6" t="s">
        <v>865</v>
      </c>
      <c r="Y20" s="758">
        <v>19.600000000000001</v>
      </c>
      <c r="Z20" s="758">
        <v>19.100000000000001</v>
      </c>
      <c r="AA20" s="81">
        <v>18.100000000000001</v>
      </c>
      <c r="AB20" s="2">
        <v>15.8</v>
      </c>
      <c r="AC20" s="782">
        <v>18.2</v>
      </c>
      <c r="AD20" s="755">
        <v>21</v>
      </c>
      <c r="AE20" s="755">
        <v>19.2</v>
      </c>
      <c r="AG20" s="755"/>
      <c r="AH20" s="755"/>
      <c r="AJ20" s="755"/>
      <c r="AL20" s="755"/>
      <c r="AM20" s="755"/>
    </row>
    <row r="21" spans="1:39" x14ac:dyDescent="0.25">
      <c r="X21" s="756" t="s">
        <v>857</v>
      </c>
      <c r="Y21" s="758">
        <v>192.89</v>
      </c>
      <c r="Z21" s="758">
        <v>187</v>
      </c>
      <c r="AA21" s="81">
        <v>174.4</v>
      </c>
      <c r="AB21" s="81">
        <v>147.34</v>
      </c>
      <c r="AC21" s="782">
        <v>154.44</v>
      </c>
      <c r="AD21" s="755">
        <v>169.08</v>
      </c>
      <c r="AE21" s="755">
        <v>150.96</v>
      </c>
      <c r="AJ21" s="755"/>
      <c r="AL21" s="755"/>
      <c r="AM21" s="755"/>
    </row>
    <row r="22" spans="1:39" x14ac:dyDescent="0.25">
      <c r="X22" s="756" t="s">
        <v>869</v>
      </c>
      <c r="Y22" s="81"/>
      <c r="Z22" s="759">
        <f t="shared" ref="Z22:AE22" si="4">(Z21-Y21)/Y21</f>
        <v>-3.0535538389755749E-2</v>
      </c>
      <c r="AA22" s="759">
        <f t="shared" si="4"/>
        <v>-6.7379679144385002E-2</v>
      </c>
      <c r="AB22" s="759">
        <f t="shared" si="4"/>
        <v>-0.1551605504587156</v>
      </c>
      <c r="AC22" s="759">
        <f t="shared" si="4"/>
        <v>4.8187864802497586E-2</v>
      </c>
      <c r="AD22" s="759">
        <f t="shared" si="4"/>
        <v>9.4794094794094896E-2</v>
      </c>
      <c r="AE22" s="759">
        <f t="shared" si="4"/>
        <v>-0.10716820440028391</v>
      </c>
      <c r="AJ22" s="755"/>
      <c r="AL22" s="755"/>
      <c r="AM22" s="755"/>
    </row>
    <row r="23" spans="1:39" x14ac:dyDescent="0.25">
      <c r="C23" s="4"/>
      <c r="D23" s="3"/>
      <c r="E23" s="3"/>
      <c r="F23" s="3"/>
      <c r="H23" s="70"/>
      <c r="X23" s="756" t="s">
        <v>880</v>
      </c>
      <c r="Y23" s="81">
        <f t="shared" ref="Y23:AD23" si="5">SUM(Y13:Y15)</f>
        <v>157.67000000000002</v>
      </c>
      <c r="Z23" s="81">
        <f t="shared" si="5"/>
        <v>152.53</v>
      </c>
      <c r="AA23" s="81">
        <f t="shared" si="5"/>
        <v>143.49</v>
      </c>
      <c r="AB23" s="81">
        <f t="shared" si="5"/>
        <v>120.02</v>
      </c>
      <c r="AC23" s="81">
        <f t="shared" si="5"/>
        <v>126.06</v>
      </c>
      <c r="AD23" s="81">
        <f t="shared" si="5"/>
        <v>138.43</v>
      </c>
      <c r="AE23" s="81">
        <f t="shared" ref="AE23" si="6">SUM(AE13:AE15)</f>
        <v>123.06</v>
      </c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6" t="s">
        <v>881</v>
      </c>
      <c r="Z24" s="227">
        <f t="shared" ref="Z24:AE24" si="7">(Z23-Y23)/Y23</f>
        <v>-3.259973362085377E-2</v>
      </c>
      <c r="AA24" s="227">
        <f t="shared" si="7"/>
        <v>-5.9267029436832049E-2</v>
      </c>
      <c r="AB24" s="227">
        <f t="shared" si="7"/>
        <v>-0.16356540525472166</v>
      </c>
      <c r="AC24" s="227">
        <f t="shared" si="7"/>
        <v>5.0324945842359657E-2</v>
      </c>
      <c r="AD24" s="227">
        <f t="shared" si="7"/>
        <v>9.8127875614786642E-2</v>
      </c>
      <c r="AE24" s="227">
        <f t="shared" si="7"/>
        <v>-0.11103084591490286</v>
      </c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6" t="s">
        <v>866</v>
      </c>
      <c r="Y25" s="759">
        <f t="shared" ref="Y25:AD25" si="8">Y23/Y21</f>
        <v>0.81740888589351457</v>
      </c>
      <c r="Z25" s="759">
        <f t="shared" si="8"/>
        <v>0.81566844919786097</v>
      </c>
      <c r="AA25" s="759">
        <f t="shared" si="8"/>
        <v>0.82276376146788999</v>
      </c>
      <c r="AB25" s="759">
        <f t="shared" si="8"/>
        <v>0.81457852585855839</v>
      </c>
      <c r="AC25" s="759">
        <f t="shared" si="8"/>
        <v>0.81623931623931623</v>
      </c>
      <c r="AD25" s="759">
        <f t="shared" si="8"/>
        <v>0.81872486396971844</v>
      </c>
      <c r="AE25" s="759">
        <f t="shared" ref="AE25" si="9">AE23/AE21</f>
        <v>0.81518282988871227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516</v>
      </c>
      <c r="K29" s="661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0">C30*(E30-D30)</f>
        <v>39.000000000000057</v>
      </c>
      <c r="G30" s="39">
        <f t="shared" ref="G30:G40" si="11">D30*C30</f>
        <v>4094</v>
      </c>
      <c r="H30" s="226">
        <f t="shared" ref="H30:H40" si="12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0"/>
        <v>160.99999999999994</v>
      </c>
      <c r="G31" s="39">
        <f t="shared" si="11"/>
        <v>4094</v>
      </c>
      <c r="H31" s="226">
        <f t="shared" si="12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0"/>
        <v>43.500000000000227</v>
      </c>
      <c r="G32" s="39">
        <f t="shared" si="11"/>
        <v>8184.5</v>
      </c>
      <c r="H32" s="226">
        <f t="shared" si="12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0"/>
        <v>93.9</v>
      </c>
      <c r="G33" s="39">
        <f t="shared" si="11"/>
        <v>4005.1000000000004</v>
      </c>
      <c r="H33" s="226">
        <f t="shared" si="12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0"/>
        <v>78.900000000000148</v>
      </c>
      <c r="G34" s="39">
        <f t="shared" si="11"/>
        <v>8089.1</v>
      </c>
      <c r="H34" s="227">
        <f t="shared" si="12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0"/>
        <v>-791.10000000000014</v>
      </c>
      <c r="G35" s="39">
        <f t="shared" si="11"/>
        <v>11783.1</v>
      </c>
      <c r="H35" s="227">
        <f t="shared" si="12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0"/>
        <v>-341.19000000000028</v>
      </c>
      <c r="G36" s="39">
        <f t="shared" si="11"/>
        <v>7969.1900000000005</v>
      </c>
      <c r="H36" s="227">
        <f t="shared" si="12"/>
        <v>-4.2813636015705522E-2</v>
      </c>
      <c r="I36" s="197" t="s">
        <v>814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0"/>
        <v>-623.00000000000045</v>
      </c>
      <c r="G37" s="39">
        <f t="shared" si="11"/>
        <v>7969</v>
      </c>
      <c r="H37" s="227">
        <f t="shared" si="12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0"/>
        <v>-875.99999999999841</v>
      </c>
      <c r="G38" s="39">
        <f t="shared" si="11"/>
        <v>11548.5</v>
      </c>
      <c r="H38" s="227">
        <f t="shared" si="12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0"/>
        <v>-472.27999999999923</v>
      </c>
      <c r="G39" s="39">
        <f t="shared" si="11"/>
        <v>7839.28</v>
      </c>
      <c r="H39" s="227">
        <f t="shared" si="12"/>
        <v>-6.0245328652631269E-2</v>
      </c>
      <c r="I39" s="197" t="s">
        <v>825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0"/>
        <v>-550.27500000000134</v>
      </c>
      <c r="G40" s="39">
        <f t="shared" si="11"/>
        <v>11503.275000000001</v>
      </c>
      <c r="H40" s="227">
        <f t="shared" si="12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3">C41*(E41-D41)</f>
        <v>-651.29999999999984</v>
      </c>
      <c r="G41" s="39">
        <f t="shared" ref="G41" si="14">D41*C41</f>
        <v>11451.3</v>
      </c>
      <c r="H41" s="227">
        <f t="shared" ref="H41" si="15">(E41-D41)/D41</f>
        <v>-5.6875638573786365E-2</v>
      </c>
      <c r="I41" s="345" t="s">
        <v>883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16">C42*(E42-D42)</f>
        <v>-706.00000000000023</v>
      </c>
      <c r="G42" s="39">
        <f t="shared" ref="G42:G45" si="17">D42*C42</f>
        <v>15034</v>
      </c>
      <c r="H42" s="227">
        <f t="shared" ref="H42:H45" si="18">(E42-D42)/D42</f>
        <v>-4.6960223493414943E-2</v>
      </c>
      <c r="I42" s="197">
        <v>75</v>
      </c>
      <c r="J42" s="10"/>
      <c r="K42" s="39">
        <v>-47</v>
      </c>
      <c r="O42" s="802" t="s">
        <v>78</v>
      </c>
      <c r="P42" s="802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16"/>
        <v>-239.85000000000056</v>
      </c>
      <c r="G43" s="39">
        <f t="shared" si="17"/>
        <v>11354.85</v>
      </c>
      <c r="H43" s="226">
        <f t="shared" si="18"/>
        <v>-2.1123132405976353E-2</v>
      </c>
      <c r="I43" s="763" t="s">
        <v>888</v>
      </c>
      <c r="J43" s="10"/>
      <c r="K43" s="39">
        <v>419</v>
      </c>
      <c r="O43" s="81">
        <v>1.1000000000000001</v>
      </c>
      <c r="P43" s="81">
        <f>O43*$Q$4</f>
        <v>86.207000000000008</v>
      </c>
      <c r="Q43" s="2"/>
      <c r="T43" s="125" t="s">
        <v>97</v>
      </c>
      <c r="U43" s="96">
        <v>66.98</v>
      </c>
      <c r="V43" s="760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16"/>
        <v>-177.40000000000009</v>
      </c>
      <c r="G44" s="39">
        <f t="shared" si="17"/>
        <v>7629.4</v>
      </c>
      <c r="H44" s="227">
        <f t="shared" si="18"/>
        <v>-2.3252156132854498E-2</v>
      </c>
      <c r="I44" s="763" t="s">
        <v>916</v>
      </c>
      <c r="J44" s="10"/>
      <c r="K44" s="39">
        <v>481</v>
      </c>
      <c r="O44" s="81">
        <v>1.0900000000000001</v>
      </c>
      <c r="P44" s="81">
        <f t="shared" ref="P44:P63" si="19">O44*$Q$4</f>
        <v>85.423300000000012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16"/>
        <v>180.99999999999881</v>
      </c>
      <c r="G45" s="39">
        <f t="shared" si="17"/>
        <v>7629.0000000000009</v>
      </c>
      <c r="H45" s="227">
        <f t="shared" si="18"/>
        <v>2.3725258880587075E-2</v>
      </c>
      <c r="I45" s="345"/>
      <c r="J45" s="10"/>
      <c r="K45" s="39">
        <v>839</v>
      </c>
      <c r="O45" s="81">
        <v>1.08</v>
      </c>
      <c r="P45" s="81">
        <f t="shared" si="19"/>
        <v>84.639600000000016</v>
      </c>
      <c r="Q45" s="2"/>
      <c r="T45" s="91" t="s">
        <v>99</v>
      </c>
      <c r="U45" s="86" t="s">
        <v>695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0">C46*(E46-D46)</f>
        <v>241.99999999999875</v>
      </c>
      <c r="G46" s="39">
        <f t="shared" ref="G46" si="21">D46*C46</f>
        <v>7629.0000000000009</v>
      </c>
      <c r="H46" s="227">
        <f t="shared" ref="H46" si="22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19"/>
        <v>83.855900000000005</v>
      </c>
      <c r="Q46" s="2"/>
      <c r="T46" s="91" t="s">
        <v>100</v>
      </c>
      <c r="U46" s="86" t="s">
        <v>696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3">C47*(E47-D47)</f>
        <v>544.99999999999886</v>
      </c>
      <c r="G47" s="39">
        <f t="shared" ref="G47:G48" si="24">D47*C47</f>
        <v>7629.0000000000009</v>
      </c>
      <c r="H47" s="227">
        <f t="shared" ref="H47:H48" si="25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19"/>
        <v>83.072200000000009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3"/>
        <v>767.49999999999977</v>
      </c>
      <c r="G48" s="39">
        <f t="shared" si="24"/>
        <v>3431</v>
      </c>
      <c r="H48" s="227">
        <f t="shared" si="25"/>
        <v>0.22369571553482939</v>
      </c>
      <c r="I48" s="345"/>
      <c r="J48" s="10"/>
      <c r="K48" s="39">
        <v>1426</v>
      </c>
      <c r="O48" s="81">
        <v>1.05</v>
      </c>
      <c r="P48" s="81">
        <f t="shared" si="19"/>
        <v>82.288500000000013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19"/>
        <v>81.504800000000003</v>
      </c>
      <c r="Q49" s="2"/>
      <c r="T49" s="91" t="s">
        <v>103</v>
      </c>
      <c r="U49" s="86" t="s">
        <v>581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19"/>
        <v>80.721100000000007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19"/>
        <v>79.937400000000011</v>
      </c>
      <c r="Q51" s="2"/>
      <c r="T51" s="91" t="s">
        <v>104</v>
      </c>
      <c r="U51" s="86" t="s">
        <v>697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19"/>
        <v>79.153700000000001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19"/>
        <v>78.37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19"/>
        <v>77.586300000000008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19"/>
        <v>76.802599999999998</v>
      </c>
      <c r="Q55" s="2"/>
      <c r="T55" s="91" t="s">
        <v>107</v>
      </c>
      <c r="U55" s="86" t="s">
        <v>698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26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19"/>
        <v>76.018900000000002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26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19"/>
        <v>75.235200000000006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26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19"/>
        <v>74.451499999999996</v>
      </c>
      <c r="T58" s="91" t="s">
        <v>108</v>
      </c>
      <c r="U58" s="86" t="s">
        <v>582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26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19"/>
        <v>73.6678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26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19"/>
        <v>72.884100000000004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26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19"/>
        <v>72.100400000000008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26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19"/>
        <v>71.316700000000012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26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19"/>
        <v>70.533000000000001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26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26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27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26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27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26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27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26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27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26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27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26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27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26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27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26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27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26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27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26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27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26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27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26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27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26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27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26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27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26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27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26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27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26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445">
        <v>42983</v>
      </c>
      <c r="C83" s="7">
        <v>50</v>
      </c>
      <c r="D83" s="43">
        <v>81.88</v>
      </c>
      <c r="E83" s="43">
        <v>0</v>
      </c>
      <c r="F83" s="43">
        <f t="shared" ref="F83:F88" si="28">C83*D83 + E83</f>
        <v>4094</v>
      </c>
      <c r="G83" s="445">
        <v>43018</v>
      </c>
      <c r="H83" s="7">
        <v>50</v>
      </c>
      <c r="I83" s="43">
        <v>83.07</v>
      </c>
      <c r="J83" s="43">
        <v>0.1</v>
      </c>
      <c r="K83" s="43">
        <f t="shared" ref="K83:K88" si="29">H83*I83   - J83</f>
        <v>4153.3999999999996</v>
      </c>
      <c r="L83" s="72">
        <v>43006</v>
      </c>
      <c r="M83" s="762">
        <v>26</v>
      </c>
    </row>
    <row r="84" spans="1:13" x14ac:dyDescent="0.25">
      <c r="A84" s="371"/>
      <c r="B84" s="445">
        <v>42992</v>
      </c>
      <c r="C84" s="7">
        <v>50</v>
      </c>
      <c r="D84" s="43">
        <v>81.81</v>
      </c>
      <c r="E84" s="43">
        <v>0</v>
      </c>
      <c r="F84" s="43">
        <f t="shared" si="28"/>
        <v>4090.5</v>
      </c>
      <c r="G84" s="445">
        <v>43035</v>
      </c>
      <c r="H84" s="80">
        <v>50</v>
      </c>
      <c r="I84" s="43">
        <v>76.28</v>
      </c>
      <c r="J84" s="43">
        <v>0.09</v>
      </c>
      <c r="K84" s="43">
        <f t="shared" si="29"/>
        <v>3813.91</v>
      </c>
      <c r="L84" s="72">
        <v>43098</v>
      </c>
      <c r="M84" s="761">
        <v>52</v>
      </c>
    </row>
    <row r="85" spans="1:13" x14ac:dyDescent="0.25">
      <c r="A85" s="371"/>
      <c r="B85" s="445">
        <v>43020</v>
      </c>
      <c r="C85" s="7">
        <v>50</v>
      </c>
      <c r="D85" s="43">
        <v>81.680000000000007</v>
      </c>
      <c r="E85" s="43">
        <v>0</v>
      </c>
      <c r="F85" s="43">
        <f t="shared" si="28"/>
        <v>4084.0000000000005</v>
      </c>
      <c r="G85" s="445">
        <v>43068</v>
      </c>
      <c r="H85" s="80">
        <v>50</v>
      </c>
      <c r="I85" s="43">
        <v>74.180000000000007</v>
      </c>
      <c r="J85" s="43">
        <v>0.09</v>
      </c>
      <c r="K85" s="43">
        <f t="shared" si="29"/>
        <v>3708.9100000000003</v>
      </c>
      <c r="L85" s="72"/>
      <c r="M85" s="3"/>
    </row>
    <row r="86" spans="1:13" x14ac:dyDescent="0.25">
      <c r="A86" s="371"/>
      <c r="B86" s="445">
        <v>43035</v>
      </c>
      <c r="C86" s="7">
        <v>50</v>
      </c>
      <c r="D86" s="43">
        <v>73.88</v>
      </c>
      <c r="E86" s="43">
        <v>0</v>
      </c>
      <c r="F86" s="43">
        <f t="shared" si="28"/>
        <v>3694</v>
      </c>
      <c r="G86" s="445">
        <v>43102</v>
      </c>
      <c r="H86" s="80">
        <v>50</v>
      </c>
      <c r="I86" s="43">
        <v>73.58</v>
      </c>
      <c r="J86" s="43">
        <v>7.0000000000000007E-2</v>
      </c>
      <c r="K86" s="43">
        <f t="shared" si="29"/>
        <v>3678.93</v>
      </c>
      <c r="L86" s="72"/>
      <c r="M86" s="3"/>
    </row>
    <row r="87" spans="1:13" x14ac:dyDescent="0.25">
      <c r="A87" s="371"/>
      <c r="B87" s="445">
        <v>43053</v>
      </c>
      <c r="C87" s="7">
        <v>50</v>
      </c>
      <c r="D87" s="43">
        <v>71.58</v>
      </c>
      <c r="E87" s="43">
        <v>0</v>
      </c>
      <c r="F87" s="43">
        <f t="shared" si="28"/>
        <v>3579</v>
      </c>
      <c r="G87" s="445">
        <v>43105</v>
      </c>
      <c r="H87" s="80">
        <v>50</v>
      </c>
      <c r="I87" s="43">
        <v>74.510000000000005</v>
      </c>
      <c r="J87" s="43">
        <v>0.09</v>
      </c>
      <c r="K87" s="43">
        <f t="shared" si="29"/>
        <v>3725.4100000000003</v>
      </c>
      <c r="L87" s="72"/>
      <c r="M87" s="3"/>
    </row>
    <row r="88" spans="1:13" x14ac:dyDescent="0.25">
      <c r="A88" s="371"/>
      <c r="B88" s="794">
        <v>43090</v>
      </c>
      <c r="C88" s="7">
        <v>50</v>
      </c>
      <c r="D88" s="43">
        <v>73.28</v>
      </c>
      <c r="E88" s="43">
        <v>0</v>
      </c>
      <c r="F88" s="43">
        <f t="shared" si="28"/>
        <v>3664</v>
      </c>
      <c r="G88" s="445">
        <v>43126</v>
      </c>
      <c r="H88" s="80">
        <v>50</v>
      </c>
      <c r="I88" s="43">
        <v>83.97</v>
      </c>
      <c r="J88" s="43">
        <v>0.1</v>
      </c>
      <c r="K88" s="43">
        <f t="shared" si="29"/>
        <v>4198.3999999999996</v>
      </c>
      <c r="L88" s="72"/>
      <c r="M88" s="3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300</v>
      </c>
      <c r="D96" s="457"/>
      <c r="E96" s="457"/>
      <c r="F96" s="458">
        <f>SumByColor($A$25,F56:F94)</f>
        <v>23205</v>
      </c>
      <c r="G96" s="457"/>
      <c r="H96" s="457">
        <f>SumByColor($A$25,H56:H94)</f>
        <v>300</v>
      </c>
      <c r="I96" s="457"/>
      <c r="J96" s="457"/>
      <c r="K96" s="458">
        <f>SumByColor($A$25,K56:K94)</f>
        <v>23278</v>
      </c>
      <c r="L96" s="457"/>
      <c r="M96" s="458">
        <f>SumByColor($A$25,M56:M94)</f>
        <v>78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516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30">C106*(E106-D106)</f>
        <v>103.99999999999991</v>
      </c>
      <c r="G106" s="372">
        <f t="shared" ref="G106:G169" si="31">D106*C106</f>
        <v>2555</v>
      </c>
      <c r="H106" s="373">
        <f t="shared" ref="H106:H169" si="32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30"/>
        <v>-54.250000000000043</v>
      </c>
      <c r="G107" s="372">
        <f t="shared" si="31"/>
        <v>2555</v>
      </c>
      <c r="H107" s="373">
        <f t="shared" si="32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30"/>
        <v>16.499999999999915</v>
      </c>
      <c r="G108" s="372">
        <f t="shared" si="31"/>
        <v>2555</v>
      </c>
      <c r="H108" s="373">
        <f t="shared" si="32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30"/>
        <v>-143.99999999999977</v>
      </c>
      <c r="G109" s="372">
        <f t="shared" si="31"/>
        <v>4956.5</v>
      </c>
      <c r="H109" s="373">
        <f t="shared" si="32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30"/>
        <v>-819.60000000000059</v>
      </c>
      <c r="G110" s="372">
        <f t="shared" si="31"/>
        <v>5782.2000000000007</v>
      </c>
      <c r="H110" s="373">
        <f t="shared" si="32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30"/>
        <v>-539</v>
      </c>
      <c r="G111" s="372">
        <f t="shared" si="31"/>
        <v>4901.5</v>
      </c>
      <c r="H111" s="373">
        <f t="shared" si="32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30"/>
        <v>-500.5000000000004</v>
      </c>
      <c r="G112" s="372">
        <f t="shared" si="31"/>
        <v>6662.6</v>
      </c>
      <c r="H112" s="374">
        <f t="shared" si="32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30"/>
        <v>-384.30000000000064</v>
      </c>
      <c r="G113" s="372">
        <f t="shared" si="31"/>
        <v>6662.6</v>
      </c>
      <c r="H113" s="374">
        <f t="shared" si="32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30"/>
        <v>-446.6000000000007</v>
      </c>
      <c r="G114" s="372">
        <f t="shared" si="31"/>
        <v>6662.6</v>
      </c>
      <c r="H114" s="374">
        <f t="shared" si="32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31"/>
        <v>6662.32</v>
      </c>
      <c r="H115" s="374">
        <f t="shared" si="32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31"/>
        <v>4850.55</v>
      </c>
      <c r="H116" s="374">
        <f t="shared" si="32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31"/>
        <v>4850.55</v>
      </c>
      <c r="H117" s="374">
        <f t="shared" si="32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33">C118*(E118-D118)</f>
        <v>-221.95000000000036</v>
      </c>
      <c r="G118" s="372">
        <f t="shared" si="31"/>
        <v>4820.4500000000007</v>
      </c>
      <c r="H118" s="374">
        <f t="shared" si="32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33"/>
        <v>-15.950000000000131</v>
      </c>
      <c r="G119" s="372">
        <f t="shared" si="31"/>
        <v>4820.4500000000007</v>
      </c>
      <c r="H119" s="374">
        <f t="shared" si="32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33"/>
        <v>94.050000000000011</v>
      </c>
      <c r="G120" s="372">
        <f t="shared" si="31"/>
        <v>4820.4500000000007</v>
      </c>
      <c r="H120" s="374">
        <f t="shared" si="32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33"/>
        <v>145.74999999999994</v>
      </c>
      <c r="G121" s="372">
        <f t="shared" si="31"/>
        <v>2334.25</v>
      </c>
      <c r="H121" s="374">
        <f t="shared" si="32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33"/>
        <v>59.499999999999886</v>
      </c>
      <c r="G122" s="372">
        <f t="shared" si="31"/>
        <v>4790.5</v>
      </c>
      <c r="H122" s="374">
        <f t="shared" si="32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33"/>
        <v>-422.59000000000043</v>
      </c>
      <c r="G123" s="372">
        <f t="shared" si="31"/>
        <v>6597.29</v>
      </c>
      <c r="H123" s="374">
        <f t="shared" si="32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33"/>
        <v>-461.29999999999995</v>
      </c>
      <c r="G124" s="372">
        <f t="shared" si="31"/>
        <v>9282.2999999999993</v>
      </c>
      <c r="H124" s="374">
        <f t="shared" si="32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33"/>
        <v>-814.29999999999859</v>
      </c>
      <c r="G125" s="372">
        <f t="shared" si="31"/>
        <v>9282.2999999999993</v>
      </c>
      <c r="H125" s="374">
        <f t="shared" si="32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33"/>
        <v>-1005.2999999999997</v>
      </c>
      <c r="G126" s="372">
        <f t="shared" si="31"/>
        <v>9282.2999999999993</v>
      </c>
      <c r="H126" s="374">
        <f t="shared" si="32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33"/>
        <v>-659.99999999999943</v>
      </c>
      <c r="G127" s="372">
        <f t="shared" si="31"/>
        <v>9282</v>
      </c>
      <c r="H127" s="374">
        <f t="shared" si="32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33"/>
        <v>-522.29999999999995</v>
      </c>
      <c r="G128" s="372">
        <f t="shared" si="31"/>
        <v>9282.2999999999993</v>
      </c>
      <c r="H128" s="374">
        <f t="shared" si="32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33"/>
        <v>-925</v>
      </c>
      <c r="G129" s="372">
        <f t="shared" si="31"/>
        <v>9282</v>
      </c>
      <c r="H129" s="374">
        <f t="shared" si="32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33"/>
        <v>-1102.9999999999986</v>
      </c>
      <c r="G130" s="372">
        <f t="shared" si="31"/>
        <v>9282</v>
      </c>
      <c r="H130" s="374">
        <f t="shared" si="32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33"/>
        <v>-1235.4000000000015</v>
      </c>
      <c r="G131" s="372">
        <f t="shared" si="31"/>
        <v>17329.400000000001</v>
      </c>
      <c r="H131" s="374">
        <f t="shared" si="32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33"/>
        <v>-1679.400000000001</v>
      </c>
      <c r="G132" s="372">
        <f t="shared" si="31"/>
        <v>17329.400000000001</v>
      </c>
      <c r="H132" s="374">
        <f t="shared" si="32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33"/>
        <v>-867.40000000000066</v>
      </c>
      <c r="G133" s="372">
        <f t="shared" si="31"/>
        <v>17329.400000000001</v>
      </c>
      <c r="H133" s="374">
        <f t="shared" si="32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33"/>
        <v>-828.30000000000155</v>
      </c>
      <c r="G134" s="372">
        <f t="shared" si="31"/>
        <v>17282.3</v>
      </c>
      <c r="H134" s="374">
        <f t="shared" si="32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33"/>
        <v>-422.48000000000019</v>
      </c>
      <c r="G135" s="372">
        <f t="shared" si="31"/>
        <v>8908.48</v>
      </c>
      <c r="H135" s="374">
        <f t="shared" si="32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33"/>
        <v>-519.48</v>
      </c>
      <c r="G136" s="372">
        <f t="shared" si="31"/>
        <v>8908.48</v>
      </c>
      <c r="H136" s="374">
        <f t="shared" si="32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33"/>
        <v>-253.48000000000042</v>
      </c>
      <c r="G137" s="372">
        <f t="shared" si="31"/>
        <v>8908.48</v>
      </c>
      <c r="H137" s="374">
        <f t="shared" si="32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33"/>
        <v>-215.47999999999945</v>
      </c>
      <c r="G138" s="372">
        <f t="shared" si="31"/>
        <v>8908.48</v>
      </c>
      <c r="H138" s="374">
        <f t="shared" si="32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33"/>
        <v>-364.48000000000036</v>
      </c>
      <c r="G139" s="372">
        <f t="shared" si="31"/>
        <v>8908.48</v>
      </c>
      <c r="H139" s="374">
        <f t="shared" si="32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33"/>
        <v>-242.48000000000047</v>
      </c>
      <c r="G140" s="372">
        <f t="shared" si="31"/>
        <v>8908.48</v>
      </c>
      <c r="H140" s="374">
        <f t="shared" si="32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33"/>
        <v>-184.48000000000064</v>
      </c>
      <c r="G141" s="372">
        <f t="shared" si="31"/>
        <v>8908.48</v>
      </c>
      <c r="H141" s="374">
        <f t="shared" si="32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33"/>
        <v>-253.48000000000042</v>
      </c>
      <c r="G142" s="372">
        <f t="shared" si="31"/>
        <v>8908.48</v>
      </c>
      <c r="H142" s="374">
        <f t="shared" si="32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33"/>
        <v>-53.480000000000416</v>
      </c>
      <c r="G143" s="372">
        <f t="shared" si="31"/>
        <v>8908.48</v>
      </c>
      <c r="H143" s="374">
        <f t="shared" si="32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33"/>
        <v>-795.27600000000064</v>
      </c>
      <c r="G144" s="372">
        <f t="shared" si="31"/>
        <v>10521.276</v>
      </c>
      <c r="H144" s="374">
        <f t="shared" si="32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33"/>
        <v>-982.18499999999972</v>
      </c>
      <c r="G145" s="372">
        <f t="shared" si="31"/>
        <v>12902.684999999999</v>
      </c>
      <c r="H145" s="374">
        <f t="shared" si="32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33"/>
        <v>-1067.6849999999988</v>
      </c>
      <c r="G146" s="372">
        <f t="shared" si="31"/>
        <v>12902.684999999999</v>
      </c>
      <c r="H146" s="374">
        <f t="shared" si="32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33"/>
        <v>-955.18499999999881</v>
      </c>
      <c r="G147" s="372">
        <f t="shared" si="31"/>
        <v>12902.684999999999</v>
      </c>
      <c r="H147" s="374">
        <f t="shared" si="32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33"/>
        <v>-797.68499999999915</v>
      </c>
      <c r="G148" s="372">
        <f t="shared" si="31"/>
        <v>12902.684999999999</v>
      </c>
      <c r="H148" s="374">
        <f t="shared" si="32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33"/>
        <v>-814.18499999999904</v>
      </c>
      <c r="G149" s="372">
        <f t="shared" si="31"/>
        <v>12902.684999999999</v>
      </c>
      <c r="H149" s="374">
        <f t="shared" si="32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33"/>
        <v>-752.6849999999996</v>
      </c>
      <c r="G150" s="372">
        <f t="shared" si="31"/>
        <v>12902.684999999999</v>
      </c>
      <c r="H150" s="374">
        <f t="shared" si="32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33"/>
        <v>-682.18499999999972</v>
      </c>
      <c r="G151" s="372">
        <f t="shared" si="31"/>
        <v>12902.684999999999</v>
      </c>
      <c r="H151" s="374">
        <f t="shared" si="32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33"/>
        <v>-827.6849999999996</v>
      </c>
      <c r="G152" s="372">
        <f t="shared" si="31"/>
        <v>12902.684999999999</v>
      </c>
      <c r="H152" s="374">
        <f t="shared" si="32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33"/>
        <v>-890.68499999999983</v>
      </c>
      <c r="G153" s="372">
        <f t="shared" si="31"/>
        <v>12902.684999999999</v>
      </c>
      <c r="H153" s="374">
        <f t="shared" si="32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33"/>
        <v>-927.38400000000081</v>
      </c>
      <c r="G154" s="372">
        <f t="shared" si="31"/>
        <v>14488.284</v>
      </c>
      <c r="H154" s="374">
        <f t="shared" si="32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33"/>
        <v>-1241.8839999999998</v>
      </c>
      <c r="G155" s="372">
        <f t="shared" si="31"/>
        <v>14488.284</v>
      </c>
      <c r="H155" s="374">
        <f t="shared" si="32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33"/>
        <v>-1334.6800000000003</v>
      </c>
      <c r="G156" s="372">
        <f t="shared" si="31"/>
        <v>16818.68</v>
      </c>
      <c r="H156" s="374">
        <f t="shared" si="32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33"/>
        <v>-1440.6800000000003</v>
      </c>
      <c r="G157" s="372">
        <f t="shared" si="31"/>
        <v>16818.68</v>
      </c>
      <c r="H157" s="374">
        <f t="shared" si="32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33"/>
        <v>-1242.6800000000014</v>
      </c>
      <c r="G158" s="372">
        <f t="shared" si="31"/>
        <v>16818.68</v>
      </c>
      <c r="H158" s="374">
        <f t="shared" si="32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33"/>
        <v>-1020.6800000000015</v>
      </c>
      <c r="G159" s="372">
        <f t="shared" si="31"/>
        <v>16818.68</v>
      </c>
      <c r="H159" s="374">
        <f t="shared" si="32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33"/>
        <v>-462.68000000000029</v>
      </c>
      <c r="G160" s="372">
        <f t="shared" si="31"/>
        <v>16818.68</v>
      </c>
      <c r="H160" s="374">
        <f t="shared" si="32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33"/>
        <v>-514.68000000000131</v>
      </c>
      <c r="G161" s="372">
        <f t="shared" si="31"/>
        <v>16818.68</v>
      </c>
      <c r="H161" s="374">
        <f t="shared" si="32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33"/>
        <v>-968.68000000000052</v>
      </c>
      <c r="G162" s="372">
        <f t="shared" si="31"/>
        <v>16818.68</v>
      </c>
      <c r="H162" s="374">
        <f t="shared" si="32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33"/>
        <v>-900.67999999999984</v>
      </c>
      <c r="G163" s="372">
        <f t="shared" si="31"/>
        <v>16724.68</v>
      </c>
      <c r="H163" s="374">
        <f t="shared" si="32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33"/>
        <v>-1097.7599999999995</v>
      </c>
      <c r="G164" s="372">
        <f t="shared" si="31"/>
        <v>16703.759999999998</v>
      </c>
      <c r="H164" s="374">
        <f t="shared" si="32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33"/>
        <v>-1470.25</v>
      </c>
      <c r="G165" s="372">
        <f t="shared" si="31"/>
        <v>20522.75</v>
      </c>
      <c r="H165" s="374">
        <f t="shared" si="32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33"/>
        <v>-1712.7499999999998</v>
      </c>
      <c r="G166" s="372">
        <f t="shared" si="31"/>
        <v>20522.75</v>
      </c>
      <c r="H166" s="374">
        <f t="shared" si="32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33"/>
        <v>-2170.2499999999995</v>
      </c>
      <c r="G167" s="372">
        <f t="shared" si="31"/>
        <v>20522.75</v>
      </c>
      <c r="H167" s="374">
        <f t="shared" si="32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33"/>
        <v>-2395.2499999999973</v>
      </c>
      <c r="G168" s="372">
        <f t="shared" si="31"/>
        <v>20522.75</v>
      </c>
      <c r="H168" s="374">
        <f t="shared" si="32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33"/>
        <v>-1409.9999999999995</v>
      </c>
      <c r="G169" s="372">
        <f t="shared" si="31"/>
        <v>16498</v>
      </c>
      <c r="H169" s="374">
        <f t="shared" si="32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33"/>
        <v>-1757.9999999999984</v>
      </c>
      <c r="G170" s="372">
        <f t="shared" ref="G170:G202" si="34">D170*C170</f>
        <v>16498</v>
      </c>
      <c r="H170" s="374">
        <f t="shared" ref="H170:H204" si="35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33"/>
        <v>-1954.0000000000007</v>
      </c>
      <c r="G171" s="372">
        <f t="shared" si="34"/>
        <v>20164</v>
      </c>
      <c r="H171" s="374">
        <f t="shared" si="35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33"/>
        <v>-1457.1799999999996</v>
      </c>
      <c r="G172" s="372">
        <f t="shared" si="34"/>
        <v>16425.18</v>
      </c>
      <c r="H172" s="374">
        <f t="shared" si="35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33"/>
        <v>-1412.67</v>
      </c>
      <c r="G173" s="372">
        <f t="shared" si="34"/>
        <v>12638.67</v>
      </c>
      <c r="H173" s="374">
        <f t="shared" si="35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33"/>
        <v>-1429.6799999999989</v>
      </c>
      <c r="G174" s="372">
        <f t="shared" si="34"/>
        <v>16397.68</v>
      </c>
      <c r="H174" s="374">
        <f t="shared" si="35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33"/>
        <v>-2201.6750000000015</v>
      </c>
      <c r="G175" s="372">
        <f t="shared" si="34"/>
        <v>20221.675000000003</v>
      </c>
      <c r="H175" s="374">
        <f t="shared" si="35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33"/>
        <v>-1864.1749999999995</v>
      </c>
      <c r="G176" s="372">
        <f t="shared" si="34"/>
        <v>19884.174999999999</v>
      </c>
      <c r="H176" s="374">
        <f t="shared" si="35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33"/>
        <v>-1373.260000000002</v>
      </c>
      <c r="G177" s="372">
        <f t="shared" si="34"/>
        <v>16205.260000000002</v>
      </c>
      <c r="H177" s="374">
        <f t="shared" si="35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33"/>
        <v>-929.26000000000215</v>
      </c>
      <c r="G178" s="372">
        <f t="shared" si="34"/>
        <v>16205.260000000002</v>
      </c>
      <c r="H178" s="374">
        <f t="shared" si="35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33"/>
        <v>-1451.260000000002</v>
      </c>
      <c r="G179" s="372">
        <f t="shared" si="34"/>
        <v>16205.260000000002</v>
      </c>
      <c r="H179" s="374">
        <f t="shared" si="35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33"/>
        <v>-1821.7500000000016</v>
      </c>
      <c r="G180" s="372">
        <f t="shared" si="34"/>
        <v>19799.25</v>
      </c>
      <c r="H180" s="374">
        <f t="shared" si="35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33"/>
        <v>-2035.2599999999995</v>
      </c>
      <c r="G181" s="372">
        <f t="shared" si="34"/>
        <v>23338.260000000002</v>
      </c>
      <c r="H181" s="374">
        <f t="shared" si="35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36">C182*(E182-D182)</f>
        <v>-1804.4750000000001</v>
      </c>
      <c r="G182" s="372">
        <f t="shared" si="34"/>
        <v>19749.474999999999</v>
      </c>
      <c r="H182" s="374">
        <f t="shared" si="35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36"/>
        <v>-1934.474999999999</v>
      </c>
      <c r="G183" s="372">
        <f t="shared" si="34"/>
        <v>19749.474999999999</v>
      </c>
      <c r="H183" s="374">
        <f t="shared" si="35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36"/>
        <v>-1664.4749999999995</v>
      </c>
      <c r="G184" s="372">
        <f t="shared" si="34"/>
        <v>19749.474999999999</v>
      </c>
      <c r="H184" s="374">
        <f t="shared" si="35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36"/>
        <v>-1284.3300000000027</v>
      </c>
      <c r="G185" s="372">
        <f t="shared" si="34"/>
        <v>23223.33</v>
      </c>
      <c r="H185" s="374">
        <f t="shared" si="35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36"/>
        <v>-3507.3149999999991</v>
      </c>
      <c r="G186" s="372">
        <f t="shared" si="34"/>
        <v>26607.314999999999</v>
      </c>
      <c r="H186" s="374">
        <f t="shared" si="35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36"/>
        <v>-2464.409999999998</v>
      </c>
      <c r="G187" s="372">
        <f t="shared" si="34"/>
        <v>23158.41</v>
      </c>
      <c r="H187" s="374">
        <f t="shared" si="35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36"/>
        <v>-2221</v>
      </c>
      <c r="G188" s="372">
        <f t="shared" si="34"/>
        <v>19671</v>
      </c>
      <c r="H188" s="374">
        <f t="shared" si="35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36"/>
        <v>-2463.5</v>
      </c>
      <c r="G189" s="372">
        <f t="shared" si="34"/>
        <v>19671</v>
      </c>
      <c r="H189" s="374">
        <f t="shared" si="35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36"/>
        <v>-2186</v>
      </c>
      <c r="G190" s="372">
        <f t="shared" si="34"/>
        <v>19671</v>
      </c>
      <c r="H190" s="374">
        <f t="shared" si="35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36"/>
        <v>-2728.5000000000005</v>
      </c>
      <c r="G191" s="372">
        <f t="shared" si="34"/>
        <v>19671</v>
      </c>
      <c r="H191" s="374">
        <f t="shared" si="35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36"/>
        <v>-2553.4999999999995</v>
      </c>
      <c r="G192" s="372">
        <f t="shared" si="34"/>
        <v>19671</v>
      </c>
      <c r="H192" s="374">
        <f t="shared" si="35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36"/>
        <v>-2793.4999999999982</v>
      </c>
      <c r="G193" s="372">
        <f t="shared" si="34"/>
        <v>19671</v>
      </c>
      <c r="H193" s="374">
        <f t="shared" si="35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36"/>
        <v>-2561</v>
      </c>
      <c r="G194" s="372">
        <f t="shared" si="34"/>
        <v>19541</v>
      </c>
      <c r="H194" s="374">
        <f t="shared" si="35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36"/>
        <v>-3036.0000000000014</v>
      </c>
      <c r="G195" s="372">
        <f t="shared" si="34"/>
        <v>19541</v>
      </c>
      <c r="H195" s="374">
        <f t="shared" si="35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36"/>
        <v>-2591.0000000000009</v>
      </c>
      <c r="G196" s="372">
        <f t="shared" si="34"/>
        <v>19541</v>
      </c>
      <c r="H196" s="374">
        <f t="shared" si="35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36"/>
        <v>-1716.0000000000011</v>
      </c>
      <c r="G197" s="372">
        <f t="shared" si="34"/>
        <v>19411</v>
      </c>
      <c r="H197" s="374">
        <f t="shared" si="35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36"/>
        <v>-829.07999999999902</v>
      </c>
      <c r="G198" s="372">
        <f t="shared" si="34"/>
        <v>15707.08</v>
      </c>
      <c r="H198" s="374">
        <f t="shared" si="35"/>
        <v>-5.2783840153612198E-2</v>
      </c>
      <c r="I198" s="717" t="s">
        <v>759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36"/>
        <v>-490.00000000000057</v>
      </c>
      <c r="G199" s="372">
        <f t="shared" si="34"/>
        <v>15708.000000000002</v>
      </c>
      <c r="H199" s="374">
        <f t="shared" si="35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36"/>
        <v>-1076.0000000000018</v>
      </c>
      <c r="G200" s="372">
        <f t="shared" si="34"/>
        <v>15708.000000000002</v>
      </c>
      <c r="H200" s="374">
        <f t="shared" si="35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36"/>
        <v>474.00000000000091</v>
      </c>
      <c r="G201" s="372">
        <f t="shared" si="34"/>
        <v>7648.9999999999991</v>
      </c>
      <c r="H201" s="374">
        <f t="shared" si="35"/>
        <v>6.1968884821545424E-2</v>
      </c>
      <c r="I201" s="717" t="s">
        <v>746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36"/>
        <v>696.99999999999989</v>
      </c>
      <c r="G202" s="372">
        <f t="shared" si="34"/>
        <v>3490.5</v>
      </c>
      <c r="H202" s="374">
        <f t="shared" si="35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36"/>
        <v>671.99999999999989</v>
      </c>
      <c r="G203" s="372"/>
      <c r="H203" s="374">
        <f t="shared" si="35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36"/>
        <v>713.65000000000055</v>
      </c>
      <c r="G204" s="372">
        <f t="shared" ref="G204" si="37">D204*C204</f>
        <v>3435.3499999999995</v>
      </c>
      <c r="H204" s="374">
        <f t="shared" si="35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">
    <cfRule type="expression" dxfId="149" priority="76">
      <formula>F31&gt;0</formula>
    </cfRule>
    <cfRule type="expression" dxfId="148" priority="77">
      <formula>F31&lt;0</formula>
    </cfRule>
  </conditionalFormatting>
  <conditionalFormatting sqref="O43:O6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7" priority="59">
      <formula>F30&gt;0</formula>
    </cfRule>
    <cfRule type="expression" dxfId="146" priority="60">
      <formula>F30&lt;0</formula>
    </cfRule>
  </conditionalFormatting>
  <conditionalFormatting sqref="H30:I30 H43 H31:H33">
    <cfRule type="expression" dxfId="145" priority="57">
      <formula>H30&gt;0</formula>
    </cfRule>
    <cfRule type="expression" dxfId="144" priority="58">
      <formula>H30&lt;0</formula>
    </cfRule>
  </conditionalFormatting>
  <conditionalFormatting sqref="Q8">
    <cfRule type="expression" dxfId="143" priority="51">
      <formula>Q8&gt;0</formula>
    </cfRule>
    <cfRule type="expression" dxfId="142" priority="52">
      <formula>Q8&lt;0</formula>
    </cfRule>
  </conditionalFormatting>
  <conditionalFormatting sqref="Q7">
    <cfRule type="expression" dxfId="141" priority="53">
      <formula>Q7&gt;0</formula>
    </cfRule>
    <cfRule type="expression" dxfId="140" priority="5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39" priority="39">
      <formula>F115&gt;0</formula>
    </cfRule>
    <cfRule type="expression" dxfId="138" priority="40">
      <formula>F115&lt;0</formula>
    </cfRule>
  </conditionalFormatting>
  <conditionalFormatting sqref="F112:F114">
    <cfRule type="expression" dxfId="137" priority="37">
      <formula>F112&gt;0</formula>
    </cfRule>
    <cfRule type="expression" dxfId="136" priority="38">
      <formula>F112&lt;0</formula>
    </cfRule>
  </conditionalFormatting>
  <conditionalFormatting sqref="H112:I112">
    <cfRule type="expression" dxfId="135" priority="35">
      <formula>H112&gt;0</formula>
    </cfRule>
    <cfRule type="expression" dxfId="134" priority="36">
      <formula>H112&lt;0</formula>
    </cfRule>
  </conditionalFormatting>
  <conditionalFormatting sqref="H113:I113">
    <cfRule type="expression" dxfId="133" priority="33">
      <formula>H113&gt;0</formula>
    </cfRule>
    <cfRule type="expression" dxfId="132" priority="34">
      <formula>H113&lt;0</formula>
    </cfRule>
  </conditionalFormatting>
  <conditionalFormatting sqref="H114:I114">
    <cfRule type="expression" dxfId="131" priority="31">
      <formula>H114&gt;0</formula>
    </cfRule>
    <cfRule type="expression" dxfId="130" priority="32">
      <formula>H114&lt;0</formula>
    </cfRule>
  </conditionalFormatting>
  <conditionalFormatting sqref="F105:F111">
    <cfRule type="expression" dxfId="129" priority="29">
      <formula>F105&gt;0</formula>
    </cfRule>
    <cfRule type="expression" dxfId="128" priority="30">
      <formula>F105&lt;0</formula>
    </cfRule>
  </conditionalFormatting>
  <conditionalFormatting sqref="H105:I111">
    <cfRule type="expression" dxfId="127" priority="27">
      <formula>H105&gt;0</formula>
    </cfRule>
    <cfRule type="expression" dxfId="126" priority="28">
      <formula>H105&lt;0</formula>
    </cfRule>
  </conditionalFormatting>
  <conditionalFormatting sqref="I117 F117:F119">
    <cfRule type="expression" dxfId="125" priority="25">
      <formula>F117&gt;0</formula>
    </cfRule>
    <cfRule type="expression" dxfId="124" priority="26">
      <formula>F117&lt;0</formula>
    </cfRule>
  </conditionalFormatting>
  <conditionalFormatting sqref="F189:F196 H189:H196">
    <cfRule type="expression" dxfId="123" priority="23">
      <formula>F189&gt;0</formula>
    </cfRule>
    <cfRule type="expression" dxfId="122" priority="24">
      <formula>F189&lt;0</formula>
    </cfRule>
  </conditionalFormatting>
  <conditionalFormatting sqref="H202 F202">
    <cfRule type="expression" dxfId="121" priority="21">
      <formula>F202&gt;0</formula>
    </cfRule>
    <cfRule type="expression" dxfId="120" priority="22">
      <formula>F202&lt;0</formula>
    </cfRule>
  </conditionalFormatting>
  <conditionalFormatting sqref="I204">
    <cfRule type="expression" dxfId="119" priority="19">
      <formula>I204&gt;0</formula>
    </cfRule>
    <cfRule type="expression" dxfId="118" priority="20">
      <formula>I204&lt;0</formula>
    </cfRule>
  </conditionalFormatting>
  <conditionalFormatting sqref="H204 F204">
    <cfRule type="expression" dxfId="117" priority="17">
      <formula>F204&gt;0</formula>
    </cfRule>
    <cfRule type="expression" dxfId="116" priority="18">
      <formula>F204&lt;0</formula>
    </cfRule>
  </conditionalFormatting>
  <conditionalFormatting sqref="M54">
    <cfRule type="expression" dxfId="115" priority="15">
      <formula>M54&gt;0</formula>
    </cfRule>
    <cfRule type="expression" dxfId="114" priority="16">
      <formula>M54&lt;0</formula>
    </cfRule>
  </conditionalFormatting>
  <conditionalFormatting sqref="K33:K49">
    <cfRule type="expression" dxfId="113" priority="13">
      <formula>K33&gt;0</formula>
    </cfRule>
    <cfRule type="expression" dxfId="112" priority="14">
      <formula>K33&lt;0</formula>
    </cfRule>
  </conditionalFormatting>
  <conditionalFormatting sqref="Q10">
    <cfRule type="expression" dxfId="111" priority="11">
      <formula>Q10&gt;0</formula>
    </cfRule>
    <cfRule type="expression" dxfId="110" priority="12">
      <formula>Q10&lt;0</formula>
    </cfRule>
  </conditionalFormatting>
  <conditionalFormatting sqref="Z10">
    <cfRule type="expression" dxfId="109" priority="9">
      <formula>Z10&gt;0</formula>
    </cfRule>
    <cfRule type="expression" dxfId="108" priority="10">
      <formula>Z10&lt;0</formula>
    </cfRule>
  </conditionalFormatting>
  <conditionalFormatting sqref="AA10:AE10">
    <cfRule type="expression" dxfId="107" priority="7">
      <formula>AA10&gt;0</formula>
    </cfRule>
    <cfRule type="expression" dxfId="106" priority="8">
      <formula>AA10&lt;0</formula>
    </cfRule>
  </conditionalFormatting>
  <conditionalFormatting sqref="Z24">
    <cfRule type="expression" dxfId="105" priority="5">
      <formula>Z24&gt;0</formula>
    </cfRule>
    <cfRule type="expression" dxfId="104" priority="6">
      <formula>Z24&lt;0</formula>
    </cfRule>
  </conditionalFormatting>
  <conditionalFormatting sqref="AA24:AE24">
    <cfRule type="expression" dxfId="103" priority="3">
      <formula>AA24&gt;0</formula>
    </cfRule>
    <cfRule type="expression" dxfId="102" priority="4">
      <formula>AA24&lt;0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78.36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78.36</v>
      </c>
      <c r="R4" s="487">
        <v>-4.1700000000000001E-2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02" t="s">
        <v>78</v>
      </c>
      <c r="P42" s="80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86.196000000000012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85.412400000000005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84.628799999999998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83.845200000000006</v>
      </c>
      <c r="Q46" s="81"/>
      <c r="T46" s="91" t="s">
        <v>100</v>
      </c>
      <c r="U46" s="86" t="s">
        <v>699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83.061599999999999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82.278000000000006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81.494399999999999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80.710800000000006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79.927199999999999</v>
      </c>
      <c r="Q51" s="81"/>
      <c r="T51" s="91" t="s">
        <v>104</v>
      </c>
      <c r="U51" s="86" t="s">
        <v>700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79.143600000000006</v>
      </c>
      <c r="Q52" s="81"/>
      <c r="T52" s="91" t="s">
        <v>105</v>
      </c>
      <c r="U52" s="86" t="s">
        <v>701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78.36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77.576399999999992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76.7928</v>
      </c>
      <c r="Q55" s="81"/>
      <c r="T55" s="91" t="s">
        <v>107</v>
      </c>
      <c r="U55" s="86" t="s">
        <v>702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76.009199999999993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75.2256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74.441999999999993</v>
      </c>
      <c r="Q58" s="81"/>
      <c r="T58" s="91" t="s">
        <v>108</v>
      </c>
      <c r="U58" s="86" t="s">
        <v>549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73.6584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72.874800000000008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72.091200000000001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71.307600000000008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70.524000000000001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1" priority="5">
      <formula>F21&gt;0</formula>
    </cfRule>
    <cfRule type="expression" dxfId="100" priority="6">
      <formula>F21&lt;0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54.01</v>
      </c>
      <c r="R4" s="487">
        <v>-3.4700000000000002E-2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5401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31.990000000000691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-17.959999999999127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-3.3142890886810614E-3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3.6289576004443623E-2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6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516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02" t="s">
        <v>78</v>
      </c>
      <c r="P41" s="802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59.411000000000001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58.870899999999999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58.330800000000004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57.790700000000001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57.250599999999999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56.710500000000003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56.170400000000001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812</v>
      </c>
      <c r="J49" s="39">
        <v>-948</v>
      </c>
      <c r="K49" s="39">
        <v>46.9</v>
      </c>
      <c r="O49" s="81">
        <v>1.03</v>
      </c>
      <c r="P49" s="81">
        <f t="shared" si="17"/>
        <v>55.630299999999998</v>
      </c>
      <c r="Q49" s="2"/>
      <c r="T49" s="91" t="s">
        <v>121</v>
      </c>
      <c r="U49" s="127" t="s">
        <v>546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55.090199999999996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827</v>
      </c>
      <c r="J51" s="39">
        <v>-829</v>
      </c>
      <c r="K51" s="39"/>
      <c r="O51" s="81">
        <v>1.01</v>
      </c>
      <c r="P51" s="81">
        <f t="shared" si="17"/>
        <v>54.5501</v>
      </c>
      <c r="Q51" s="2"/>
      <c r="T51" s="91" t="s">
        <v>104</v>
      </c>
      <c r="U51" s="127" t="s">
        <v>703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54.01</v>
      </c>
      <c r="Q52" s="2"/>
      <c r="T52" s="91" t="s">
        <v>105</v>
      </c>
      <c r="U52" s="127" t="s">
        <v>704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53.469899999999996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52.9298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52.389699999999998</v>
      </c>
      <c r="T55" s="91" t="s">
        <v>107</v>
      </c>
      <c r="U55" s="127" t="s">
        <v>705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51.849599999999995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51.309499999999993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50.769399999999997</v>
      </c>
      <c r="T58" s="91" t="s">
        <v>108</v>
      </c>
      <c r="U58" s="127" t="s">
        <v>583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50.229300000000002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49.6892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49.149099999999997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48.609000000000002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95" priority="17">
      <formula>F22&gt;0</formula>
    </cfRule>
    <cfRule type="expression" dxfId="94" priority="18">
      <formula>F22&lt;0</formula>
    </cfRule>
  </conditionalFormatting>
  <conditionalFormatting sqref="Q8">
    <cfRule type="expression" dxfId="93" priority="11">
      <formula>Q8&gt;0</formula>
    </cfRule>
    <cfRule type="expression" dxfId="92" priority="12">
      <formula>Q8&lt;0</formula>
    </cfRule>
  </conditionalFormatting>
  <conditionalFormatting sqref="Q7">
    <cfRule type="expression" dxfId="91" priority="13">
      <formula>Q7&gt;0</formula>
    </cfRule>
    <cfRule type="expression" dxfId="90" priority="14">
      <formula>Q7&lt;0</formula>
    </cfRule>
  </conditionalFormatting>
  <conditionalFormatting sqref="M68">
    <cfRule type="expression" dxfId="89" priority="9">
      <formula>M68&gt;0</formula>
    </cfRule>
    <cfRule type="expression" dxfId="88" priority="10">
      <formula>M68&lt;0</formula>
    </cfRule>
  </conditionalFormatting>
  <conditionalFormatting sqref="J36">
    <cfRule type="expression" dxfId="87" priority="7">
      <formula>J36&gt;0</formula>
    </cfRule>
    <cfRule type="expression" dxfId="86" priority="8">
      <formula>J36&lt;0</formula>
    </cfRule>
  </conditionalFormatting>
  <conditionalFormatting sqref="J37:J49 J50:K64">
    <cfRule type="expression" dxfId="85" priority="5">
      <formula>J37&gt;0</formula>
    </cfRule>
    <cfRule type="expression" dxfId="84" priority="6">
      <formula>J37&lt;0</formula>
    </cfRule>
  </conditionalFormatting>
  <conditionalFormatting sqref="Q10">
    <cfRule type="expression" dxfId="83" priority="3">
      <formula>Q10&gt;0</formula>
    </cfRule>
    <cfRule type="expression" dxfId="82" priority="4">
      <formula>Q10&lt;0</formula>
    </cfRule>
  </conditionalFormatting>
  <conditionalFormatting sqref="Q9">
    <cfRule type="expression" dxfId="81" priority="1">
      <formula>Q9&gt;0</formula>
    </cfRule>
    <cfRule type="expression" dxfId="80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39.54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39.54</v>
      </c>
      <c r="R4" s="487">
        <v>-3.56E-2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809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809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802" t="s">
        <v>78</v>
      </c>
      <c r="P41" s="80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43.494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43.098600000000005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42.703200000000002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42.3078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41.912399999999998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41.517000000000003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41.121600000000001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40.726199999999999</v>
      </c>
      <c r="Q49" s="2"/>
      <c r="T49" s="10" t="s">
        <v>103</v>
      </c>
      <c r="U49" s="10" t="s">
        <v>550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40.330799999999996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39.935400000000001</v>
      </c>
      <c r="Q51" s="2"/>
      <c r="T51" s="10" t="s">
        <v>104</v>
      </c>
      <c r="U51" s="10" t="s">
        <v>706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39.54</v>
      </c>
      <c r="Q52" s="2"/>
      <c r="T52" s="10" t="s">
        <v>105</v>
      </c>
      <c r="U52" s="10" t="s">
        <v>499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39.144599999999997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38.749200000000002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38.3538</v>
      </c>
      <c r="T55" s="10" t="s">
        <v>107</v>
      </c>
      <c r="U55" s="10" t="s">
        <v>707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37.958399999999997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37.562999999999995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37.1676</v>
      </c>
      <c r="T58" s="10" t="s">
        <v>108</v>
      </c>
      <c r="U58" s="10" t="s">
        <v>584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36.772199999999998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36.376800000000003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35.981400000000001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35.585999999999999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79" priority="7">
      <formula>F22&gt;0</formula>
    </cfRule>
    <cfRule type="expression" dxfId="78" priority="8">
      <formula>F22&lt;0</formula>
    </cfRule>
  </conditionalFormatting>
  <conditionalFormatting sqref="H22:H26">
    <cfRule type="expression" dxfId="77" priority="5">
      <formula>H22&gt;0</formula>
    </cfRule>
    <cfRule type="expression" dxfId="76" priority="6">
      <formula>H22&lt;0</formula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conditionalFormatting sqref="Q7">
    <cfRule type="expression" dxfId="73" priority="3">
      <formula>Q7&gt;0</formula>
    </cfRule>
    <cfRule type="expression" dxfId="7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208.31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208.31</v>
      </c>
      <c r="R4" s="487">
        <v>-4.3099999999999999E-2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802" t="s">
        <v>78</v>
      </c>
      <c r="P45" s="802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229.14100000000002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227.05790000000002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224.97480000000002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222.89170000000001</v>
      </c>
      <c r="Q49" s="2"/>
      <c r="T49" s="91" t="s">
        <v>103</v>
      </c>
      <c r="U49" s="425" t="s">
        <v>585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220.80860000000001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218.72550000000001</v>
      </c>
      <c r="Q51" s="2"/>
      <c r="T51" s="91" t="s">
        <v>104</v>
      </c>
      <c r="U51" s="425" t="s">
        <v>708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216.64240000000001</v>
      </c>
      <c r="Q52" s="2"/>
      <c r="T52" s="91" t="s">
        <v>105</v>
      </c>
      <c r="U52" s="425" t="s">
        <v>551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214.55930000000001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212.47620000000001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210.3931</v>
      </c>
      <c r="Q55" s="2"/>
      <c r="T55" s="91" t="s">
        <v>107</v>
      </c>
      <c r="U55" s="425" t="s">
        <v>709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208.31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206.2269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204.1438</v>
      </c>
      <c r="Q58" s="2"/>
      <c r="T58" s="91" t="s">
        <v>108</v>
      </c>
      <c r="U58" s="425" t="s">
        <v>541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202.0607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199.9776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197.89449999999999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195.81139999999999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193.72830000000002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191.64520000000002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189.56210000000002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187.47900000000001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71" priority="17">
      <formula>F21&gt;0</formula>
    </cfRule>
    <cfRule type="expression" dxfId="70" priority="18">
      <formula>F21&lt;0</formula>
    </cfRule>
  </conditionalFormatting>
  <conditionalFormatting sqref="H26 H31:H41 H21">
    <cfRule type="expression" dxfId="69" priority="15">
      <formula>H21&gt;0</formula>
    </cfRule>
    <cfRule type="expression" dxfId="68" priority="16">
      <formula>H21&lt;0</formula>
    </cfRule>
  </conditionalFormatting>
  <conditionalFormatting sqref="Q7">
    <cfRule type="expression" dxfId="67" priority="9">
      <formula>Q7&gt;0</formula>
    </cfRule>
    <cfRule type="expression" dxfId="66" priority="10">
      <formula>Q7&lt;0</formula>
    </cfRule>
  </conditionalFormatting>
  <conditionalFormatting sqref="Q8">
    <cfRule type="expression" dxfId="65" priority="7">
      <formula>Q8&gt;0</formula>
    </cfRule>
    <cfRule type="expression" dxfId="64" priority="8">
      <formula>Q8&lt;0</formula>
    </cfRule>
  </conditionalFormatting>
  <conditionalFormatting sqref="F27:F30 F22:F25">
    <cfRule type="expression" dxfId="63" priority="5">
      <formula>F22&gt;0</formula>
    </cfRule>
    <cfRule type="expression" dxfId="62" priority="6">
      <formula>F22&lt;0</formula>
    </cfRule>
  </conditionalFormatting>
  <conditionalFormatting sqref="H27:H30 H22:H25">
    <cfRule type="expression" dxfId="61" priority="3">
      <formula>H22&gt;0</formula>
    </cfRule>
    <cfRule type="expression" dxfId="60" priority="4">
      <formula>H22&lt;0</formula>
    </cfRule>
  </conditionalFormatting>
  <conditionalFormatting sqref="M43">
    <cfRule type="expression" dxfId="59" priority="1">
      <formula>M43&gt;0</formula>
    </cfRule>
    <cfRule type="expression" dxfId="5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48.35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48.35</v>
      </c>
      <c r="R4" s="487">
        <v>-3.3000000000000002E-2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53.185000000000009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52.701500000000003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52.218000000000004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51.734500000000004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51.251000000000005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50.767500000000005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50.284000000000006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49.8005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49.317</v>
      </c>
      <c r="Q51" s="2"/>
      <c r="T51" s="91" t="s">
        <v>104</v>
      </c>
      <c r="U51" s="425" t="s">
        <v>710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48.833500000000001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48.35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47.866500000000002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47.383000000000003</v>
      </c>
      <c r="Q55" s="2"/>
      <c r="T55" s="91" t="s">
        <v>107</v>
      </c>
      <c r="U55" s="425" t="s">
        <v>711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46.899500000000003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46.415999999999997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45.932499999999997</v>
      </c>
      <c r="Q58" s="2"/>
      <c r="T58" s="91" t="s">
        <v>108</v>
      </c>
      <c r="U58" s="425" t="s">
        <v>586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45.448999999999998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44.965500000000006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44.482000000000006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43.9985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43.515000000000001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57" priority="7">
      <formula>F21&gt;0</formula>
    </cfRule>
    <cfRule type="expression" dxfId="56" priority="8">
      <formula>F21&lt;0</formula>
    </cfRule>
  </conditionalFormatting>
  <conditionalFormatting sqref="H21:H32">
    <cfRule type="expression" dxfId="55" priority="5">
      <formula>H21&gt;0</formula>
    </cfRule>
    <cfRule type="expression" dxfId="54" priority="6">
      <formula>H21&lt;0</formula>
    </cfRule>
  </conditionalFormatting>
  <conditionalFormatting sqref="Q8">
    <cfRule type="expression" dxfId="53" priority="1">
      <formula>Q8&gt;0</formula>
    </cfRule>
    <cfRule type="expression" dxfId="52" priority="2">
      <formula>Q8&lt;0</formula>
    </cfRule>
  </conditionalFormatting>
  <conditionalFormatting sqref="Q7">
    <cfRule type="expression" dxfId="51" priority="3">
      <formula>Q7&gt;0</formula>
    </cfRule>
    <cfRule type="expression" dxfId="5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127.24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127.24</v>
      </c>
      <c r="R4" s="487">
        <v>-5.4800000000000001E-2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02" t="s">
        <v>78</v>
      </c>
      <c r="Q39" s="80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139.964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138.69159999999999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137.41919999999999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136.14680000000001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134.87440000000001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133.602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132.3296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131.05719999999999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129.78479999999999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128.51239999999999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127.24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125.96759999999999</v>
      </c>
      <c r="T51" s="91" t="s">
        <v>104</v>
      </c>
      <c r="U51" s="86" t="s">
        <v>712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124.6952</v>
      </c>
      <c r="T52" s="91" t="s">
        <v>105</v>
      </c>
      <c r="U52" s="86" t="s">
        <v>521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123.4228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122.15039999999999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120.87799999999999</v>
      </c>
      <c r="T55" s="91" t="s">
        <v>107</v>
      </c>
      <c r="U55" s="86" t="s">
        <v>713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119.6056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118.33320000000001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117.0608</v>
      </c>
      <c r="T58" s="91" t="s">
        <v>108</v>
      </c>
      <c r="U58" s="86" t="s">
        <v>587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115.7884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114.51599999999999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220.02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220.02</v>
      </c>
      <c r="R4" s="487">
        <v>-5.11E-2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559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02" t="s">
        <v>78</v>
      </c>
      <c r="P41" s="80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242.02200000000002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239.82180000000002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237.62160000000003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235.42140000000003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233.22120000000001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231.02100000000002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228.82080000000002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226.62060000000002</v>
      </c>
      <c r="Q49" s="81"/>
      <c r="T49" s="91" t="s">
        <v>103</v>
      </c>
      <c r="U49" s="86" t="s">
        <v>536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224.4204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222.22020000000001</v>
      </c>
      <c r="Q51" s="81"/>
      <c r="T51" s="91" t="s">
        <v>104</v>
      </c>
      <c r="U51" s="86" t="s">
        <v>714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220.02</v>
      </c>
      <c r="Q52" s="81"/>
      <c r="T52" s="91" t="s">
        <v>105</v>
      </c>
      <c r="U52" s="86" t="s">
        <v>531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217.81980000000001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215.61960000000002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213.4194</v>
      </c>
      <c r="Q55" s="81"/>
      <c r="T55" s="91" t="s">
        <v>107</v>
      </c>
      <c r="U55" s="86" t="s">
        <v>715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211.2192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209.01900000000001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206.81880000000001</v>
      </c>
      <c r="Q58" s="81"/>
      <c r="T58" s="91" t="s">
        <v>108</v>
      </c>
      <c r="U58" s="86" t="s">
        <v>588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204.61860000000001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202.41840000000002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200.21820000000002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198.018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45" priority="13">
      <formula>F21&gt;0</formula>
    </cfRule>
    <cfRule type="expression" dxfId="44" priority="14">
      <formula>F21&lt;0</formula>
    </cfRule>
  </conditionalFormatting>
  <conditionalFormatting sqref="F22">
    <cfRule type="expression" dxfId="43" priority="11">
      <formula>F22&gt;0</formula>
    </cfRule>
    <cfRule type="expression" dxfId="42" priority="12">
      <formula>F22&lt;0</formula>
    </cfRule>
  </conditionalFormatting>
  <conditionalFormatting sqref="F23:F30">
    <cfRule type="expression" dxfId="41" priority="9">
      <formula>F23&gt;0</formula>
    </cfRule>
    <cfRule type="expression" dxfId="40" priority="10">
      <formula>F23&lt;0</formula>
    </cfRule>
  </conditionalFormatting>
  <conditionalFormatting sqref="H21:H31">
    <cfRule type="expression" dxfId="39" priority="7">
      <formula>H21&gt;0</formula>
    </cfRule>
    <cfRule type="expression" dxfId="38" priority="8">
      <formula>H21&lt;0</formula>
    </cfRule>
  </conditionalFormatting>
  <conditionalFormatting sqref="F24">
    <cfRule type="expression" dxfId="37" priority="5">
      <formula>F24&gt;0</formula>
    </cfRule>
    <cfRule type="expression" dxfId="36" priority="6">
      <formula>F24&lt;0</formula>
    </cfRule>
  </conditionalFormatting>
  <conditionalFormatting sqref="Q8">
    <cfRule type="expression" dxfId="35" priority="1">
      <formula>Q8&gt;0</formula>
    </cfRule>
    <cfRule type="expression" dxfId="34" priority="2">
      <formula>Q8&lt;0</formula>
    </cfRule>
  </conditionalFormatting>
  <conditionalFormatting sqref="Q7">
    <cfRule type="expression" dxfId="33" priority="3">
      <formula>Q7&gt;0</formula>
    </cfRule>
    <cfRule type="expression" dxfId="3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76</vt:i4>
      </vt:variant>
      <vt:variant>
        <vt:lpstr>Named Ranges</vt:lpstr>
      </vt:variant>
      <vt:variant>
        <vt:i4>95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AYI</vt:lpstr>
      <vt:lpstr>DIA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2018-02-06T02:35:43Z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