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drawings/drawing10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15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19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drawings/drawing22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3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omments2.xml" ContentType="application/vnd.openxmlformats-officedocument.spreadsheetml.comment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queryTables/queryTable34.xml" ContentType="application/vnd.openxmlformats-officedocument.spreadsheetml.queryTable+xml"/>
  <Override PartName="/xl/drawings/drawing25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drawings/drawing28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omments3.xml" ContentType="application/vnd.openxmlformats-officedocument.spreadsheetml.comments+xml"/>
  <Override PartName="/xl/queryTables/queryTable43.xml" ContentType="application/vnd.openxmlformats-officedocument.spreadsheetml.queryTable+xml"/>
  <Override PartName="/xl/tables/table1.xml" ContentType="application/vnd.openxmlformats-officedocument.spreadsheetml.table+xml"/>
  <Override PartName="/xl/queryTables/queryTable44.xml" ContentType="application/vnd.openxmlformats-officedocument.spreadsheetml.queryTable+xml"/>
  <Override PartName="/xl/drawings/drawing29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0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1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omments4.xml" ContentType="application/vnd.openxmlformats-officedocument.spreadsheetml.comment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6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7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8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drawings/drawing39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drawings/drawing40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drawings/drawing41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r:id="rId18"/>
    <sheet name="IEMG" sheetId="105" state="hidden" r:id="rId19"/>
    <sheet name="CVS" sheetId="69" r:id="rId20"/>
    <sheet name="ADBE" sheetId="85" state="hidden" r:id="rId21"/>
    <sheet name="MRO" sheetId="25" state="hidden" r:id="rId22"/>
    <sheet name="GE" sheetId="86" state="hidden" r:id="rId23"/>
    <sheet name="XRAY" sheetId="103" state="hidden" r:id="rId24"/>
    <sheet name="XLP" sheetId="104" state="hidden" r:id="rId25"/>
    <sheet name="KR" sheetId="51" state="hidden" r:id="rId26"/>
    <sheet name="F" sheetId="54" state="hidden" r:id="rId27"/>
    <sheet name="JNJ" sheetId="68" state="hidden" r:id="rId28"/>
    <sheet name="ULTA" sheetId="81" state="hidden" r:id="rId29"/>
    <sheet name="FRC" sheetId="89" state="hidden" r:id="rId30"/>
    <sheet name="AAP" sheetId="77" state="hidden" r:id="rId31"/>
    <sheet name="CMCSA" sheetId="99" state="hidden" r:id="rId32"/>
    <sheet name="XEC" sheetId="100" state="hidden" r:id="rId33"/>
    <sheet name="MO" sheetId="102" state="hidden" r:id="rId34"/>
    <sheet name="T" sheetId="93" state="hidden" r:id="rId35"/>
    <sheet name="COST" sheetId="78" state="hidden" r:id="rId36"/>
    <sheet name="CPN" sheetId="7" state="hidden" r:id="rId37"/>
    <sheet name="EW" sheetId="72" state="hidden" r:id="rId38"/>
    <sheet name="TJX" sheetId="79" state="hidden" r:id="rId39"/>
    <sheet name="QQQ" sheetId="101" state="hidden" r:id="rId40"/>
    <sheet name="WBA" sheetId="84" state="hidden" r:id="rId41"/>
    <sheet name="AZO" sheetId="83" state="hidden" r:id="rId42"/>
    <sheet name="FL" sheetId="98" state="hidden" r:id="rId43"/>
    <sheet name="MLM" sheetId="97" state="hidden" r:id="rId44"/>
    <sheet name="KHC" sheetId="96" state="hidden" r:id="rId45"/>
    <sheet name="KBWY" sheetId="94" state="hidden" r:id="rId46"/>
    <sheet name="AYI" sheetId="92" state="hidden" r:id="rId47"/>
    <sheet name="DIA" sheetId="91" state="hidden" r:id="rId48"/>
    <sheet name="ICE" sheetId="95" state="hidden" r:id="rId49"/>
    <sheet name="NKE" sheetId="50" state="hidden" r:id="rId50"/>
    <sheet name="MOS" sheetId="58" state="hidden" r:id="rId51"/>
    <sheet name="VGK" sheetId="59" state="hidden" r:id="rId52"/>
    <sheet name="CMG" sheetId="87" state="hidden" r:id="rId53"/>
    <sheet name="HAS" sheetId="90" r:id="rId54"/>
    <sheet name="HSIC" sheetId="82" state="hidden" r:id="rId55"/>
    <sheet name="PDCO" sheetId="88" state="hidden" r:id="rId56"/>
    <sheet name="MU" sheetId="17" state="hidden" r:id="rId57"/>
    <sheet name="IP" sheetId="44" state="hidden" r:id="rId58"/>
    <sheet name="INTC" sheetId="13" state="hidden" r:id="rId59"/>
    <sheet name="HES" sheetId="10" state="hidden" r:id="rId60"/>
    <sheet name="UNP" sheetId="20" state="hidden" r:id="rId61"/>
    <sheet name="NCLH" sheetId="67" state="hidden" r:id="rId62"/>
    <sheet name="SPY" sheetId="47" state="hidden" r:id="rId63"/>
    <sheet name="SWKS" sheetId="41" state="hidden" r:id="rId64"/>
    <sheet name="CNI" sheetId="42" state="hidden" r:id="rId65"/>
    <sheet name="WFC" sheetId="45" state="hidden" r:id="rId66"/>
    <sheet name="AA" sheetId="3" state="hidden" r:id="rId67"/>
    <sheet name="CF" sheetId="61" state="hidden" r:id="rId68"/>
    <sheet name="TGT" sheetId="75" state="hidden" r:id="rId69"/>
    <sheet name="NWL" sheetId="46" state="hidden" r:id="rId70"/>
    <sheet name="KORS" sheetId="16" state="hidden" r:id="rId71"/>
    <sheet name="ALL" sheetId="22" state="hidden" r:id="rId72"/>
    <sheet name="NSC" sheetId="24" state="hidden" r:id="rId73"/>
    <sheet name="AVGO" sheetId="15" state="hidden" r:id="rId74"/>
    <sheet name="UAL" sheetId="52" r:id="rId75"/>
    <sheet name="CAH" sheetId="53" state="hidden" r:id="rId76"/>
    <sheet name="DAL" sheetId="49" state="hidden" r:id="rId77"/>
    <sheet name="TEVA" sheetId="74" state="hidden" r:id="rId78"/>
    <sheet name="DIS" sheetId="34" state="hidden" r:id="rId79"/>
    <sheet name="FTR" sheetId="40" state="hidden" r:id="rId80"/>
    <sheet name="GILD" sheetId="31" state="hidden" r:id="rId81"/>
    <sheet name="WWD" sheetId="28" state="hidden" r:id="rId82"/>
    <sheet name="GIS" sheetId="43" r:id="rId83"/>
    <sheet name="GM" sheetId="29" state="hidden" r:id="rId84"/>
    <sheet name="TMO" sheetId="48" state="hidden" r:id="rId85"/>
    <sheet name="TKR" sheetId="32" state="hidden" r:id="rId86"/>
    <sheet name="UTX" sheetId="30" state="hidden" r:id="rId87"/>
    <sheet name="UNH" sheetId="26" state="hidden" r:id="rId88"/>
  </sheets>
  <functionGroups builtInGroupCount="18"/>
  <definedNames>
    <definedName name="_xlnm._FilterDatabase" localSheetId="0" hidden="1">ACTIVE!$E$1:$M$26</definedName>
    <definedName name="hp?s_AA_Historical_Prices_1" localSheetId="66">AA!$W$1:$AC$68</definedName>
    <definedName name="hp?s_AAPL" localSheetId="6">AAPL!$W$1:$AC$69</definedName>
    <definedName name="hp?s_AKAM_Historical_Prices" localSheetId="14">BMY!$W$1:$AC$70</definedName>
    <definedName name="hp?s_ALL_Historical_Prices" localSheetId="71">ALL!$X$1:$AD$69</definedName>
    <definedName name="hp?s_AVGO" localSheetId="73">AVGO!$W$1:$AC$69</definedName>
    <definedName name="hp?s_AXP_Historical_Prices" localSheetId="7">AXP!$W$1:$AC$70</definedName>
    <definedName name="hp?s_BIIB" localSheetId="3">BIIB!#REF!</definedName>
    <definedName name="hp?s_CAH" localSheetId="75">CAH!$W$1:$AC$69</definedName>
    <definedName name="hp?s_cce" localSheetId="13">CCE!$W$1:$AC$68</definedName>
    <definedName name="hp?s_CNI" localSheetId="64">CNI!$W$1:$AC$69</definedName>
    <definedName name="hp?s_CPN_Historical_Prices" localSheetId="36">CPN!$W$1:$AC$68</definedName>
    <definedName name="hp?s_DIS" localSheetId="13">CCE!#REF!</definedName>
    <definedName name="hp?s_DIS" localSheetId="78">DIS!$W$1:$AC$68</definedName>
    <definedName name="hp?s_DIS" localSheetId="79">FTR!#REF!</definedName>
    <definedName name="hp?s_ew_Historical_Prices" localSheetId="37">EW!$W$1:$AC$68</definedName>
    <definedName name="hp?s_foxa" localSheetId="10">FOXA!$W$1:$AC$69</definedName>
    <definedName name="hp?s_GILD" localSheetId="80">GILD!#REF!</definedName>
    <definedName name="hp?s_GIS" localSheetId="82">GIS!#REF!</definedName>
    <definedName name="hp?s_GM" localSheetId="83">GM!$W$1:$AC$69</definedName>
    <definedName name="hp?s_HES" localSheetId="59">HES!$W$1:$AC$69</definedName>
    <definedName name="hp?s_INTC_Historical_Prices" localSheetId="58">INTC!$W$1:$AC$69</definedName>
    <definedName name="hp?s_IP" localSheetId="57">IP!$W$1:$AC$69</definedName>
    <definedName name="hp?s_KORS" localSheetId="70">KORS!$W$1:$AC$68</definedName>
    <definedName name="hp?s_MYL" localSheetId="4">MYL!$W$1:$AC$68</definedName>
    <definedName name="hp?s_nclh" localSheetId="61">NCLH!$W$1:$AC$68</definedName>
    <definedName name="hp?s_nke" localSheetId="49">NKE!$W$1:$AC$69</definedName>
    <definedName name="hp?s_NWL" localSheetId="69">NWL!#REF!</definedName>
    <definedName name="hp?s_pinc" localSheetId="9">PINC!$W$1:$AC$68</definedName>
    <definedName name="hp?s_SWKS" localSheetId="63">SWKS!$W$1:$AC$69</definedName>
    <definedName name="hp?s_TKR" localSheetId="85">TKR!$W$1:$AC$69</definedName>
    <definedName name="hp?s_tmo" localSheetId="84">TMO!$W$1:$AC$69</definedName>
    <definedName name="hp?s_ual" localSheetId="74">UAL!$W$1:$AC$68</definedName>
    <definedName name="hp?s_UNH" localSheetId="87">UNH!$W$1:$AC$69</definedName>
    <definedName name="hp?s_UTX" localSheetId="86">UTX!$W$1:$AC$69</definedName>
    <definedName name="hp?s_vgk" localSheetId="51">VGK!$W$1:$AC$69</definedName>
    <definedName name="hp?s_WFC" localSheetId="65">WFC!#REF!</definedName>
    <definedName name="hp?s_WWD" localSheetId="81">WWD!$W$1:$AC$69</definedName>
    <definedName name="PL" localSheetId="66">AA!$Q$7</definedName>
    <definedName name="PL" localSheetId="30">#REF!</definedName>
    <definedName name="PL" localSheetId="20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6">#REF!</definedName>
    <definedName name="PL" localSheetId="41">#REF!</definedName>
    <definedName name="PL" localSheetId="14">#REF!</definedName>
    <definedName name="PL" localSheetId="75">#REF!</definedName>
    <definedName name="PL" localSheetId="67">#REF!</definedName>
    <definedName name="PL" localSheetId="31">#REF!</definedName>
    <definedName name="PL" localSheetId="52">#REF!</definedName>
    <definedName name="PL" localSheetId="35">#REF!</definedName>
    <definedName name="PL" localSheetId="19">#REF!</definedName>
    <definedName name="PL" localSheetId="8">#REF!</definedName>
    <definedName name="PL" localSheetId="47">#REF!</definedName>
    <definedName name="PL" localSheetId="37">#REF!</definedName>
    <definedName name="PL" localSheetId="26">#REF!</definedName>
    <definedName name="PL" localSheetId="42">#REF!</definedName>
    <definedName name="PL" localSheetId="10">#REF!</definedName>
    <definedName name="PL" localSheetId="29">#REF!</definedName>
    <definedName name="PL" localSheetId="22">#REF!</definedName>
    <definedName name="PL" localSheetId="15">#REF!</definedName>
    <definedName name="PL" localSheetId="53">#REF!</definedName>
    <definedName name="PL" localSheetId="54">#REF!</definedName>
    <definedName name="PL" localSheetId="48">#REF!</definedName>
    <definedName name="PL" localSheetId="18">#REF!</definedName>
    <definedName name="PL" localSheetId="27">#REF!</definedName>
    <definedName name="PL" localSheetId="45">#REF!</definedName>
    <definedName name="PL" localSheetId="44">#REF!</definedName>
    <definedName name="PL" localSheetId="25">#REF!</definedName>
    <definedName name="PL" localSheetId="12">#REF!</definedName>
    <definedName name="PL" localSheetId="43">#REF!</definedName>
    <definedName name="PL" localSheetId="33">#REF!</definedName>
    <definedName name="PL" localSheetId="50">#REF!</definedName>
    <definedName name="PL" localSheetId="4">#REF!</definedName>
    <definedName name="PL" localSheetId="61">NCLH!$Q$7</definedName>
    <definedName name="PL" localSheetId="49">#REF!</definedName>
    <definedName name="PL" localSheetId="55">#REF!</definedName>
    <definedName name="PL" localSheetId="9">PINC!$Q$7</definedName>
    <definedName name="PL" localSheetId="39">#REF!</definedName>
    <definedName name="PL" localSheetId="62">SPY!$Q$7</definedName>
    <definedName name="PL" localSheetId="63">SWKS!$Q$7</definedName>
    <definedName name="PL" localSheetId="34">#REF!</definedName>
    <definedName name="PL" localSheetId="68">#REF!</definedName>
    <definedName name="PL" localSheetId="38">#REF!</definedName>
    <definedName name="PL" localSheetId="74">#REF!</definedName>
    <definedName name="PL" localSheetId="28">#REF!</definedName>
    <definedName name="PL" localSheetId="51">#REF!</definedName>
    <definedName name="PL" localSheetId="40">#REF!</definedName>
    <definedName name="PL" localSheetId="65">WFC!$Q$7</definedName>
    <definedName name="PL" localSheetId="32">#REF!</definedName>
    <definedName name="PL" localSheetId="24">#REF!</definedName>
    <definedName name="PL" localSheetId="23">#REF!</definedName>
    <definedName name="q?s_aa_ql_1" localSheetId="66">AA!$T$40:$U$55</definedName>
    <definedName name="q?s_AAPL" localSheetId="6">AAPL!$T$40:$U$55</definedName>
    <definedName name="q?s_AKAM" localSheetId="16">AKAM!$T$43:$U$58</definedName>
    <definedName name="q?s_ALL" localSheetId="71">ALL!$T$40:$U$55</definedName>
    <definedName name="q?s_AVGO" localSheetId="73">AVGO!$T$42:$U$57</definedName>
    <definedName name="q?s_AXP" localSheetId="7">AXP!$T$43:$U$58</definedName>
    <definedName name="q?s_BMY_1" localSheetId="14">BMY!$T$43:$U$58</definedName>
    <definedName name="q?s_CAH" localSheetId="75">CAH!$T$43:$U$58</definedName>
    <definedName name="q?s_cce" localSheetId="13">CCE!$T$43:$U$58</definedName>
    <definedName name="q?s_CF" localSheetId="67">CF!$T$56:$U$71</definedName>
    <definedName name="q?s_CNI" localSheetId="64">CNI!$T$43:$U$58</definedName>
    <definedName name="q?s_CPN" localSheetId="36">CPN!$T$43:$U$58</definedName>
    <definedName name="q?s_cvs" localSheetId="19">CVS!$T$43:$U$58</definedName>
    <definedName name="q?s_dg" localSheetId="8">DG!$T$43:$U$58</definedName>
    <definedName name="q?s_DIS" localSheetId="78">DIS!$T$43:$U$58</definedName>
    <definedName name="q?s_ew" localSheetId="37">EW!$T$43:$U$58</definedName>
    <definedName name="q?s_F" localSheetId="26">F!$T$43:$U$58</definedName>
    <definedName name="q?s_foxa" localSheetId="10">FOXA!$T$43:$U$58</definedName>
    <definedName name="q?s_FTR" localSheetId="79">FTR!$T$43:$U$58</definedName>
    <definedName name="q?s_GILD" localSheetId="80">GILD!$T$43:$U$58</definedName>
    <definedName name="q?s_GM" localSheetId="83">GM!$T$43:$U$58</definedName>
    <definedName name="q?s_HES" localSheetId="59">HES!$T$43:$U$58</definedName>
    <definedName name="q?s_INTC" localSheetId="58">INTC!$T$43:$U$58</definedName>
    <definedName name="q?s_IP" localSheetId="57">IP!$T$43:$U$58</definedName>
    <definedName name="q?s_JNJ" localSheetId="27">JNJ!$T$43:$U$58</definedName>
    <definedName name="q?s_KORS" localSheetId="70">KORS!$T$43:$U$58</definedName>
    <definedName name="q?s_MU" localSheetId="56">MU!#REF!</definedName>
    <definedName name="q?s_MYL" localSheetId="4">MYL!$T$43:$U$58</definedName>
    <definedName name="q?s_nclh" localSheetId="61">NCLH!$T$40:$U$55</definedName>
    <definedName name="q?s_NKE" localSheetId="49">NKE!$T$43:$U$58</definedName>
    <definedName name="q?s_NSC" localSheetId="60">UNP!$T$43:$U$58</definedName>
    <definedName name="q?s_pinc" localSheetId="9">PINC!$T$40:$U$55</definedName>
    <definedName name="q?s_SIG" localSheetId="5">SIG!#REF!</definedName>
    <definedName name="q?s_SWKS" localSheetId="63">SWKS!$T$40:$U$55</definedName>
    <definedName name="q?s_tgt" localSheetId="68">TGT!$T$43:$U$58</definedName>
    <definedName name="q?s_TKR" localSheetId="85">TKR!$T$43:$U$58</definedName>
    <definedName name="q?s_tmo" localSheetId="84">TMO!$T$43:$U$58</definedName>
    <definedName name="q?s_UAL" localSheetId="74">UAL!$T$43:$U$58</definedName>
    <definedName name="q?s_UNH" localSheetId="87">UNH!$T$43:$U$58</definedName>
    <definedName name="q?s_UTX" localSheetId="86">UTX!$T$43:$U$58</definedName>
    <definedName name="q?s_vgk" localSheetId="51">VGK!$T$43:$U$56</definedName>
    <definedName name="q?s_WWD" localSheetId="8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84" i="38" l="1"/>
  <c r="D684" i="38"/>
  <c r="E684" i="38"/>
  <c r="G684" i="38"/>
  <c r="H684" i="38"/>
  <c r="K684" i="38"/>
  <c r="L684" i="38" s="1"/>
  <c r="M684" i="38"/>
  <c r="N684" i="38" s="1"/>
  <c r="S684" i="38"/>
  <c r="V684" i="38"/>
  <c r="X684" i="38" s="1"/>
  <c r="F238" i="25"/>
  <c r="H238" i="25"/>
  <c r="G238" i="25"/>
  <c r="K68" i="25"/>
  <c r="F18" i="92"/>
  <c r="C18" i="92"/>
  <c r="Z684" i="38" l="1"/>
  <c r="O684" i="38"/>
  <c r="W684" i="38"/>
  <c r="P684" i="38"/>
  <c r="Q684" i="38" s="1"/>
  <c r="U684" i="38"/>
  <c r="G65" i="46"/>
  <c r="F65" i="46"/>
  <c r="H65" i="46"/>
  <c r="F39" i="99"/>
  <c r="H39" i="99"/>
  <c r="G39" i="99"/>
  <c r="F36" i="103"/>
  <c r="H36" i="103"/>
  <c r="G36" i="103"/>
  <c r="G60" i="88"/>
  <c r="F60" i="88"/>
  <c r="H60" i="88"/>
  <c r="F156" i="51"/>
  <c r="G156" i="51"/>
  <c r="H156" i="51"/>
  <c r="Q13" i="49"/>
  <c r="Y684" i="38" l="1"/>
  <c r="A683" i="38"/>
  <c r="D683" i="38"/>
  <c r="E683" i="38"/>
  <c r="G683" i="38"/>
  <c r="H683" i="38"/>
  <c r="K683" i="38"/>
  <c r="L683" i="38" s="1"/>
  <c r="P683" i="38" s="1"/>
  <c r="M683" i="38"/>
  <c r="N683" i="38" s="1"/>
  <c r="S683" i="38"/>
  <c r="O683" i="38" l="1"/>
  <c r="Z683" i="38"/>
  <c r="U683" i="38"/>
  <c r="F38" i="86"/>
  <c r="H38" i="86"/>
  <c r="G38" i="86"/>
  <c r="K4" i="86"/>
  <c r="F68" i="84" l="1"/>
  <c r="G68" i="84"/>
  <c r="H68" i="84"/>
  <c r="K10" i="84"/>
  <c r="H18" i="84"/>
  <c r="F237" i="25"/>
  <c r="G237" i="25"/>
  <c r="H237" i="25"/>
  <c r="K67" i="25"/>
  <c r="F76" i="81"/>
  <c r="H76" i="81"/>
  <c r="G76" i="81"/>
  <c r="K15" i="81"/>
  <c r="K3" i="82"/>
  <c r="F32" i="102"/>
  <c r="G32" i="102"/>
  <c r="H32" i="102"/>
  <c r="K2" i="102"/>
  <c r="K5" i="98"/>
  <c r="K12" i="57"/>
  <c r="K2" i="96"/>
  <c r="Q2" i="31" l="1"/>
  <c r="K2" i="31"/>
  <c r="K10" i="47"/>
  <c r="H18" i="47"/>
  <c r="F41" i="101"/>
  <c r="H41" i="101"/>
  <c r="G41" i="101"/>
  <c r="K7" i="101"/>
  <c r="H18" i="101"/>
  <c r="K7" i="91"/>
  <c r="H18" i="91"/>
  <c r="G48" i="45"/>
  <c r="K7" i="45"/>
  <c r="F67" i="84"/>
  <c r="H67" i="84"/>
  <c r="G67" i="84"/>
  <c r="K9" i="84"/>
  <c r="K682" i="38"/>
  <c r="G682" i="38"/>
  <c r="D682" i="38"/>
  <c r="A682" i="38"/>
  <c r="E682" i="38"/>
  <c r="H682" i="38"/>
  <c r="M682" i="38"/>
  <c r="N682" i="38" s="1"/>
  <c r="S682" i="38"/>
  <c r="F236" i="25"/>
  <c r="H236" i="25"/>
  <c r="G236" i="25"/>
  <c r="F86" i="25"/>
  <c r="F64" i="46"/>
  <c r="H64" i="46"/>
  <c r="G64" i="46"/>
  <c r="F41" i="47"/>
  <c r="H41" i="47"/>
  <c r="G41" i="47"/>
  <c r="K9" i="47"/>
  <c r="K13" i="46"/>
  <c r="F235" i="25"/>
  <c r="H235" i="25"/>
  <c r="G235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66" i="84"/>
  <c r="H66" i="84"/>
  <c r="G66" i="84"/>
  <c r="F155" i="51"/>
  <c r="H155" i="51"/>
  <c r="G155" i="51"/>
  <c r="Q13" i="51"/>
  <c r="C19" i="47"/>
  <c r="C24" i="46"/>
  <c r="M19" i="47"/>
  <c r="H24" i="46"/>
  <c r="H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34" i="25"/>
  <c r="H234" i="25"/>
  <c r="G234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65" i="84"/>
  <c r="H65" i="84"/>
  <c r="G65" i="84"/>
  <c r="F233" i="25"/>
  <c r="G233" i="25"/>
  <c r="H233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66" i="43"/>
  <c r="G66" i="43"/>
  <c r="H66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64" i="84"/>
  <c r="H64" i="84"/>
  <c r="G64" i="84"/>
  <c r="F15" i="84"/>
  <c r="C18" i="84"/>
  <c r="F45" i="49"/>
  <c r="H45" i="49"/>
  <c r="G45" i="49"/>
  <c r="F5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H24" i="88"/>
  <c r="F73" i="81"/>
  <c r="G73" i="81"/>
  <c r="H73" i="81"/>
  <c r="F46" i="45"/>
  <c r="G46" i="45"/>
  <c r="H46" i="45"/>
  <c r="F37" i="92"/>
  <c r="H37" i="92"/>
  <c r="G37" i="92"/>
  <c r="F63" i="84"/>
  <c r="G63" i="84"/>
  <c r="H63" i="84"/>
  <c r="F154" i="51"/>
  <c r="H154" i="51"/>
  <c r="G154" i="51"/>
  <c r="F232" i="25"/>
  <c r="G232" i="25"/>
  <c r="H232" i="25"/>
  <c r="F44" i="49"/>
  <c r="H44" i="49"/>
  <c r="G44" i="49"/>
  <c r="F4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3" i="105"/>
  <c r="Q11" i="105"/>
  <c r="F2" i="105"/>
  <c r="F18" i="105" s="1"/>
  <c r="C24" i="88"/>
  <c r="M85" i="105"/>
  <c r="F19" i="105"/>
  <c r="C19" i="105"/>
  <c r="M19" i="105"/>
  <c r="F85" i="105"/>
  <c r="K85" i="105"/>
  <c r="H19" i="105"/>
  <c r="C85" i="105"/>
  <c r="H85" i="105"/>
  <c r="K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31" i="25"/>
  <c r="G231" i="25"/>
  <c r="H231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C32" i="58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3" i="58"/>
  <c r="F103" i="58"/>
  <c r="H103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30" i="25"/>
  <c r="H230" i="25"/>
  <c r="G230" i="25"/>
  <c r="F83" i="25"/>
  <c r="F152" i="51"/>
  <c r="G152" i="51"/>
  <c r="H152" i="51"/>
  <c r="F46" i="51"/>
  <c r="K31" i="51"/>
  <c r="G102" i="58"/>
  <c r="F102" i="58"/>
  <c r="H102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2" i="84"/>
  <c r="H62" i="84"/>
  <c r="G62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29" i="25"/>
  <c r="G229" i="25"/>
  <c r="H229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1" i="58"/>
  <c r="F101" i="58"/>
  <c r="H10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28" i="25"/>
  <c r="H228" i="25"/>
  <c r="G228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1" i="84"/>
  <c r="H61" i="84"/>
  <c r="G61" i="84"/>
  <c r="A669" i="38" l="1"/>
  <c r="D669" i="38"/>
  <c r="E669" i="38"/>
  <c r="G669" i="38"/>
  <c r="H669" i="38"/>
  <c r="K669" i="38"/>
  <c r="L669" i="38" s="1"/>
  <c r="P669" i="38" s="1"/>
  <c r="M669" i="38"/>
  <c r="N669" i="38" s="1"/>
  <c r="S669" i="38"/>
  <c r="F227" i="25"/>
  <c r="H227" i="25"/>
  <c r="G227" i="25"/>
  <c r="F82" i="25"/>
  <c r="F37" i="86"/>
  <c r="H37" i="86"/>
  <c r="G37" i="86"/>
  <c r="F7" i="86"/>
  <c r="F226" i="25"/>
  <c r="H226" i="25"/>
  <c r="G226" i="25"/>
  <c r="F81" i="25"/>
  <c r="F80" i="25"/>
  <c r="F150" i="51"/>
  <c r="H150" i="51"/>
  <c r="G150" i="51"/>
  <c r="F45" i="51"/>
  <c r="F33" i="96"/>
  <c r="H33" i="96"/>
  <c r="G33" i="96"/>
  <c r="F63" i="46"/>
  <c r="H63" i="46"/>
  <c r="M23" i="46"/>
  <c r="G63" i="46"/>
  <c r="O669" i="38" l="1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0" i="84"/>
  <c r="H60" i="84"/>
  <c r="G60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25" i="25"/>
  <c r="G225" i="25"/>
  <c r="H225" i="25"/>
  <c r="K63" i="25"/>
  <c r="G62" i="46"/>
  <c r="F62" i="46"/>
  <c r="H62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P663" i="38" s="1"/>
  <c r="M663" i="38"/>
  <c r="N663" i="38" s="1"/>
  <c r="S663" i="38"/>
  <c r="O663" i="38" l="1"/>
  <c r="Z663" i="38"/>
  <c r="F100" i="58"/>
  <c r="H100" i="58"/>
  <c r="G10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C18" i="86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61" i="46"/>
  <c r="G61" i="46"/>
  <c r="H61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24" i="25"/>
  <c r="G224" i="25"/>
  <c r="H224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9" i="45"/>
  <c r="F60" i="46"/>
  <c r="H60" i="46"/>
  <c r="G60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5" i="6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F223" i="25"/>
  <c r="H223" i="25"/>
  <c r="G223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59" i="46"/>
  <c r="G59" i="46"/>
  <c r="H59" i="46"/>
  <c r="F53" i="88"/>
  <c r="H53" i="88"/>
  <c r="G53" i="88"/>
  <c r="F145" i="51"/>
  <c r="G145" i="51"/>
  <c r="H145" i="51"/>
  <c r="F59" i="84"/>
  <c r="H59" i="84"/>
  <c r="G59" i="84"/>
  <c r="F222" i="25"/>
  <c r="H222" i="25"/>
  <c r="G222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58" i="84"/>
  <c r="H58" i="84"/>
  <c r="G58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21" i="25"/>
  <c r="G221" i="25"/>
  <c r="H221" i="25"/>
  <c r="K61" i="25"/>
  <c r="F99" i="58"/>
  <c r="H99" i="58"/>
  <c r="G99" i="58"/>
  <c r="H3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0" i="25"/>
  <c r="G220" i="25"/>
  <c r="H220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3" i="103"/>
  <c r="F57" i="84"/>
  <c r="H57" i="84"/>
  <c r="G57" i="84"/>
  <c r="F14" i="84"/>
  <c r="F52" i="88"/>
  <c r="H52" i="88"/>
  <c r="G52" i="88"/>
  <c r="F14" i="88"/>
  <c r="AA14" i="88" s="1"/>
  <c r="AB14" i="88" s="1"/>
  <c r="F98" i="58"/>
  <c r="H98" i="58"/>
  <c r="G9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P642" i="38" s="1"/>
  <c r="M642" i="38"/>
  <c r="N642" i="38" s="1"/>
  <c r="S642" i="38"/>
  <c r="F31" i="103"/>
  <c r="H31" i="103"/>
  <c r="G31" i="103"/>
  <c r="Q13" i="103"/>
  <c r="AB14" i="58"/>
  <c r="AC14" i="58"/>
  <c r="AD14" i="58"/>
  <c r="AB35" i="58"/>
  <c r="AC35" i="58"/>
  <c r="AD35" i="58"/>
  <c r="AD53" i="58"/>
  <c r="AD54" i="58" s="1"/>
  <c r="F97" i="58"/>
  <c r="H97" i="58"/>
  <c r="G97" i="58"/>
  <c r="F24" i="58"/>
  <c r="O642" i="38" l="1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19" i="25"/>
  <c r="H219" i="25"/>
  <c r="G219" i="25"/>
  <c r="C90" i="25"/>
  <c r="F77" i="25"/>
  <c r="K59" i="25"/>
  <c r="O641" i="38" l="1"/>
  <c r="Z641" i="38"/>
  <c r="U641" i="38"/>
  <c r="F33" i="31"/>
  <c r="G33" i="31"/>
  <c r="H33" i="31"/>
  <c r="F56" i="84"/>
  <c r="H56" i="84"/>
  <c r="G56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P640" i="38" s="1"/>
  <c r="M640" i="38"/>
  <c r="N640" i="38" s="1"/>
  <c r="S640" i="38"/>
  <c r="F32" i="74"/>
  <c r="H32" i="74"/>
  <c r="G32" i="74"/>
  <c r="F6" i="74"/>
  <c r="F218" i="25"/>
  <c r="H218" i="25"/>
  <c r="G218" i="25"/>
  <c r="K58" i="25"/>
  <c r="F96" i="58"/>
  <c r="H96" i="58"/>
  <c r="G96" i="58"/>
  <c r="K18" i="58"/>
  <c r="O640" i="38" l="1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58" i="46"/>
  <c r="F58" i="46"/>
  <c r="H58" i="46"/>
  <c r="F18" i="46"/>
  <c r="F217" i="25"/>
  <c r="H217" i="25"/>
  <c r="G217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57" i="46"/>
  <c r="H57" i="46"/>
  <c r="G57" i="46"/>
  <c r="K11" i="46"/>
  <c r="F35" i="92"/>
  <c r="H35" i="92"/>
  <c r="G35" i="92"/>
  <c r="G29" i="93"/>
  <c r="F29" i="93"/>
  <c r="H29" i="93"/>
  <c r="F4" i="93"/>
  <c r="F28" i="93"/>
  <c r="G28" i="93"/>
  <c r="H28" i="93"/>
  <c r="F65" i="43"/>
  <c r="G65" i="43"/>
  <c r="H65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K19" i="104"/>
  <c r="F85" i="104"/>
  <c r="C19" i="104"/>
  <c r="F19" i="104"/>
  <c r="H19" i="104"/>
  <c r="M85" i="104"/>
  <c r="C85" i="104"/>
  <c r="K85" i="104"/>
  <c r="H85" i="104"/>
  <c r="M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56" i="46"/>
  <c r="H56" i="46"/>
  <c r="G56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16" i="25"/>
  <c r="G216" i="25"/>
  <c r="H216" i="25"/>
  <c r="K56" i="25"/>
  <c r="H139" i="51"/>
  <c r="G139" i="51"/>
  <c r="F139" i="51"/>
  <c r="F138" i="51"/>
  <c r="G138" i="51"/>
  <c r="H138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55" i="84"/>
  <c r="G55" i="84"/>
  <c r="H55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15" i="25"/>
  <c r="G215" i="25"/>
  <c r="H215" i="25"/>
  <c r="F76" i="25"/>
  <c r="F36" i="101"/>
  <c r="H36" i="101"/>
  <c r="G36" i="101"/>
  <c r="F7" i="101"/>
  <c r="F55" i="46"/>
  <c r="H55" i="46"/>
  <c r="G55" i="46"/>
  <c r="K10" i="46"/>
  <c r="F4" i="90"/>
  <c r="F37" i="90"/>
  <c r="G37" i="90"/>
  <c r="H37" i="90"/>
  <c r="K3" i="90"/>
  <c r="AD5" i="88" l="1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54" i="46"/>
  <c r="G54" i="46"/>
  <c r="H54" i="46"/>
  <c r="F95" i="58"/>
  <c r="G95" i="58"/>
  <c r="H95" i="58"/>
  <c r="F58" i="57"/>
  <c r="G58" i="57"/>
  <c r="H58" i="57"/>
  <c r="F48" i="88"/>
  <c r="H48" i="88"/>
  <c r="G48" i="88"/>
  <c r="F214" i="25"/>
  <c r="G214" i="25"/>
  <c r="H214" i="25"/>
  <c r="F28" i="102"/>
  <c r="G28" i="102"/>
  <c r="H28" i="102"/>
  <c r="Q13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C18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F213" i="25"/>
  <c r="H213" i="25"/>
  <c r="G213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54" i="84"/>
  <c r="G54" i="84"/>
  <c r="H54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12" i="25"/>
  <c r="H212" i="25"/>
  <c r="G212" i="25"/>
  <c r="K55" i="25"/>
  <c r="F33" i="47"/>
  <c r="H33" i="47"/>
  <c r="G33" i="47"/>
  <c r="K5" i="47"/>
  <c r="F93" i="58"/>
  <c r="H93" i="58"/>
  <c r="G93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81"/>
  <c r="F57" i="57"/>
  <c r="H57" i="57"/>
  <c r="G57" i="57"/>
  <c r="Q13" i="57"/>
  <c r="F53" i="84"/>
  <c r="G53" i="84"/>
  <c r="H53" i="84"/>
  <c r="F131" i="51"/>
  <c r="G131" i="51"/>
  <c r="H131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2" i="58"/>
  <c r="H92" i="58"/>
  <c r="G92" i="58"/>
  <c r="F23" i="58"/>
  <c r="F31" i="101"/>
  <c r="H31" i="101"/>
  <c r="G31" i="101"/>
  <c r="F5" i="101"/>
  <c r="F211" i="25"/>
  <c r="H211" i="25"/>
  <c r="G211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1" i="58"/>
  <c r="H91" i="58"/>
  <c r="G91" i="58"/>
  <c r="F22" i="58"/>
  <c r="F210" i="25"/>
  <c r="G210" i="25"/>
  <c r="H210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09" i="25"/>
  <c r="H209" i="25"/>
  <c r="G209" i="25"/>
  <c r="K54" i="25"/>
  <c r="F90" i="58"/>
  <c r="H90" i="58"/>
  <c r="G90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53" i="46"/>
  <c r="G53" i="46"/>
  <c r="H53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08" i="25"/>
  <c r="H208" i="25"/>
  <c r="G208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F29" i="47"/>
  <c r="H29" i="47"/>
  <c r="G29" i="47"/>
  <c r="F8" i="47"/>
  <c r="H207" i="25"/>
  <c r="G207" i="25"/>
  <c r="F207" i="25"/>
  <c r="F206" i="25"/>
  <c r="G206" i="25"/>
  <c r="H206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05" i="25" l="1"/>
  <c r="H205" i="25"/>
  <c r="G205" i="25"/>
  <c r="K52" i="25"/>
  <c r="F88" i="58"/>
  <c r="H88" i="58"/>
  <c r="G88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04" i="25"/>
  <c r="H204" i="25"/>
  <c r="G204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F203" i="25"/>
  <c r="H203" i="25"/>
  <c r="G203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28" i="47"/>
  <c r="G28" i="47"/>
  <c r="H28" i="47"/>
  <c r="F202" i="25"/>
  <c r="G202" i="25"/>
  <c r="H202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52" i="46"/>
  <c r="H52" i="46"/>
  <c r="G52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51" i="46"/>
  <c r="H51" i="46"/>
  <c r="G51" i="46"/>
  <c r="F32" i="91"/>
  <c r="H32" i="91"/>
  <c r="G32" i="91"/>
  <c r="F86" i="58"/>
  <c r="G86" i="58"/>
  <c r="H86" i="58"/>
  <c r="H61" i="81"/>
  <c r="G61" i="81"/>
  <c r="F61" i="81"/>
  <c r="F201" i="25"/>
  <c r="G201" i="25"/>
  <c r="H201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00" i="25"/>
  <c r="H200" i="25"/>
  <c r="G200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9" i="25"/>
  <c r="H199" i="25"/>
  <c r="G199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198" i="25"/>
  <c r="H198" i="25"/>
  <c r="G198" i="25"/>
  <c r="F69" i="25"/>
  <c r="H85" i="103"/>
  <c r="K19" i="103"/>
  <c r="C19" i="103"/>
  <c r="F85" i="103"/>
  <c r="C85" i="103"/>
  <c r="M19" i="103"/>
  <c r="K85" i="103"/>
  <c r="F19" i="103"/>
  <c r="H19" i="103"/>
  <c r="M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97" i="25"/>
  <c r="H197" i="25"/>
  <c r="G197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F196" i="25"/>
  <c r="H196" i="25"/>
  <c r="G196" i="25"/>
  <c r="K48" i="25"/>
  <c r="F69" i="87"/>
  <c r="K69" i="87"/>
  <c r="M85" i="102"/>
  <c r="K19" i="102"/>
  <c r="H85" i="102"/>
  <c r="C19" i="102"/>
  <c r="F85" i="102"/>
  <c r="F19" i="102"/>
  <c r="H19" i="102"/>
  <c r="C85" i="102"/>
  <c r="M19" i="102"/>
  <c r="K85" i="102"/>
  <c r="Q5" i="103" l="1"/>
  <c r="Q8" i="103"/>
  <c r="Q7" i="103" s="1"/>
  <c r="P609" i="38"/>
  <c r="M66" i="102"/>
  <c r="Q10" i="102" s="1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9" i="103" l="1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K18" i="99"/>
  <c r="H18" i="99"/>
  <c r="C18" i="99"/>
  <c r="F2" i="99"/>
  <c r="F18" i="99" s="1"/>
  <c r="F50" i="46"/>
  <c r="H50" i="46"/>
  <c r="G50" i="46"/>
  <c r="F15" i="46"/>
  <c r="F85" i="58"/>
  <c r="H85" i="58"/>
  <c r="G85" i="58"/>
  <c r="F19" i="58"/>
  <c r="F43" i="88"/>
  <c r="H43" i="88"/>
  <c r="G43" i="88"/>
  <c r="F10" i="88"/>
  <c r="AA10" i="88" s="1"/>
  <c r="AB10" i="88" s="1"/>
  <c r="M19" i="100"/>
  <c r="H19" i="99"/>
  <c r="H19" i="101"/>
  <c r="K19" i="99"/>
  <c r="H85" i="100"/>
  <c r="F19" i="100"/>
  <c r="F85" i="100"/>
  <c r="C19" i="99"/>
  <c r="K19" i="101"/>
  <c r="M85" i="99"/>
  <c r="C85" i="100"/>
  <c r="H85" i="101"/>
  <c r="H19" i="100"/>
  <c r="F85" i="101"/>
  <c r="C19" i="100"/>
  <c r="C19" i="101"/>
  <c r="K85" i="99"/>
  <c r="C85" i="101"/>
  <c r="M19" i="101"/>
  <c r="K19" i="100"/>
  <c r="H85" i="99"/>
  <c r="F19" i="99"/>
  <c r="C85" i="99"/>
  <c r="F85" i="99"/>
  <c r="M85" i="101"/>
  <c r="M85" i="100"/>
  <c r="K85" i="101"/>
  <c r="K85" i="100"/>
  <c r="M19" i="99"/>
  <c r="F19" i="101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9" i="46"/>
  <c r="G49" i="46"/>
  <c r="H49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95" i="25"/>
  <c r="H195" i="25"/>
  <c r="G195" i="25"/>
  <c r="F57" i="81"/>
  <c r="H57" i="81"/>
  <c r="G57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127" i="51"/>
  <c r="G127" i="51"/>
  <c r="H127" i="51"/>
  <c r="F194" i="25"/>
  <c r="G194" i="25"/>
  <c r="H194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47" i="84"/>
  <c r="H47" i="84"/>
  <c r="G47" i="84"/>
  <c r="F13" i="84"/>
  <c r="F46" i="84"/>
  <c r="H46" i="84"/>
  <c r="G46" i="84"/>
  <c r="K7" i="84"/>
  <c r="F84" i="58" l="1"/>
  <c r="G84" i="58"/>
  <c r="H84" i="58"/>
  <c r="F55" i="81"/>
  <c r="G55" i="81"/>
  <c r="H55" i="81"/>
  <c r="F122" i="51"/>
  <c r="G122" i="51"/>
  <c r="H122" i="51"/>
  <c r="F193" i="25"/>
  <c r="H193" i="25"/>
  <c r="G193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M19" i="98"/>
  <c r="F85" i="97"/>
  <c r="C85" i="98"/>
  <c r="H19" i="97"/>
  <c r="K85" i="97"/>
  <c r="H85" i="98"/>
  <c r="M85" i="97"/>
  <c r="K19" i="97"/>
  <c r="F85" i="98"/>
  <c r="C85" i="97"/>
  <c r="H19" i="98"/>
  <c r="M85" i="98"/>
  <c r="K25" i="88"/>
  <c r="F19" i="98"/>
  <c r="C19" i="97"/>
  <c r="F19" i="97"/>
  <c r="H85" i="97"/>
  <c r="K19" i="98"/>
  <c r="K85" i="98"/>
  <c r="M19" i="97"/>
  <c r="C19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92" i="25"/>
  <c r="H192" i="25"/>
  <c r="G192" i="25"/>
  <c r="F68" i="25"/>
  <c r="F48" i="46" l="1"/>
  <c r="G48" i="46"/>
  <c r="H48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191" i="25"/>
  <c r="G191" i="25"/>
  <c r="H191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0" i="25"/>
  <c r="H190" i="25"/>
  <c r="G190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9" i="25"/>
  <c r="H189" i="25"/>
  <c r="G189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188" i="25"/>
  <c r="H188" i="25"/>
  <c r="G188" i="25"/>
  <c r="K47" i="25"/>
  <c r="F81" i="58"/>
  <c r="H81" i="58"/>
  <c r="G81" i="58"/>
  <c r="K14" i="58"/>
  <c r="F80" i="58"/>
  <c r="H80" i="58"/>
  <c r="G80" i="58"/>
  <c r="K13" i="58"/>
  <c r="K85" i="96"/>
  <c r="K19" i="96"/>
  <c r="F19" i="96"/>
  <c r="C85" i="96"/>
  <c r="C19" i="96"/>
  <c r="H85" i="96"/>
  <c r="M19" i="96"/>
  <c r="F85" i="96"/>
  <c r="M85" i="96"/>
  <c r="H19" i="96"/>
  <c r="Q2" i="96" l="1"/>
  <c r="M66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87" i="25"/>
  <c r="H187" i="25"/>
  <c r="G187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20" i="51"/>
  <c r="G120" i="51"/>
  <c r="H120" i="51"/>
  <c r="F186" i="25"/>
  <c r="H186" i="25"/>
  <c r="G186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85" i="25"/>
  <c r="H185" i="25"/>
  <c r="G185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7" i="46"/>
  <c r="G47" i="46"/>
  <c r="H47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F44" i="57"/>
  <c r="H44" i="57"/>
  <c r="G44" i="57"/>
  <c r="K5" i="57"/>
  <c r="F184" i="25"/>
  <c r="G184" i="25"/>
  <c r="H184" i="25"/>
  <c r="F183" i="25"/>
  <c r="H183" i="25"/>
  <c r="F182" i="25"/>
  <c r="H182" i="25"/>
  <c r="F181" i="25"/>
  <c r="H181" i="25"/>
  <c r="K43" i="25"/>
  <c r="F25" i="47"/>
  <c r="G25" i="47"/>
  <c r="H25" i="47"/>
  <c r="F24" i="47"/>
  <c r="G24" i="47"/>
  <c r="H24" i="47"/>
  <c r="K2" i="47"/>
  <c r="K18" i="47" s="1"/>
  <c r="G183" i="25"/>
  <c r="F61" i="25"/>
  <c r="G49" i="81"/>
  <c r="K4" i="81"/>
  <c r="G182" i="25"/>
  <c r="K42" i="25"/>
  <c r="F6" i="47"/>
  <c r="F5" i="91"/>
  <c r="G48" i="81"/>
  <c r="F11" i="81"/>
  <c r="F8" i="57"/>
  <c r="G181" i="25"/>
  <c r="F2" i="49"/>
  <c r="G7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0" i="25"/>
  <c r="H180" i="25"/>
  <c r="G180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M85" i="95"/>
  <c r="K19" i="95"/>
  <c r="M19" i="95"/>
  <c r="C85" i="95"/>
  <c r="F85" i="95"/>
  <c r="C19" i="95"/>
  <c r="H85" i="95"/>
  <c r="H19" i="95"/>
  <c r="K85" i="95"/>
  <c r="F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F19" i="94"/>
  <c r="K85" i="94"/>
  <c r="M19" i="94"/>
  <c r="H85" i="94"/>
  <c r="M85" i="94"/>
  <c r="K19" i="94"/>
  <c r="C19" i="94"/>
  <c r="F85" i="94"/>
  <c r="H19" i="94"/>
  <c r="C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F85" i="93"/>
  <c r="K85" i="93"/>
  <c r="K19" i="93"/>
  <c r="F19" i="93"/>
  <c r="C85" i="93"/>
  <c r="M19" i="93"/>
  <c r="C19" i="93"/>
  <c r="M85" i="93"/>
  <c r="H19" i="93"/>
  <c r="H85" i="93"/>
  <c r="Q8" i="94" l="1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F2" i="92"/>
  <c r="F76" i="58"/>
  <c r="G76" i="58"/>
  <c r="H7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79" i="25"/>
  <c r="H179" i="25"/>
  <c r="G179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H19" i="91"/>
  <c r="H19" i="92"/>
  <c r="M85" i="92"/>
  <c r="F19" i="91"/>
  <c r="H85" i="92"/>
  <c r="C19" i="91"/>
  <c r="M85" i="91"/>
  <c r="M19" i="91"/>
  <c r="C19" i="92"/>
  <c r="C85" i="92"/>
  <c r="K19" i="91"/>
  <c r="K19" i="92"/>
  <c r="H85" i="91"/>
  <c r="M19" i="92"/>
  <c r="F19" i="92"/>
  <c r="K85" i="92"/>
  <c r="F85" i="92"/>
  <c r="F19" i="47"/>
  <c r="C85" i="91"/>
  <c r="K85" i="91"/>
  <c r="F85" i="91"/>
  <c r="F18" i="47" l="1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78" i="25"/>
  <c r="H178" i="25"/>
  <c r="G178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77" i="25"/>
  <c r="G177" i="25"/>
  <c r="H177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4" i="58"/>
  <c r="H74" i="58"/>
  <c r="G74" i="58"/>
  <c r="K11" i="58"/>
  <c r="F42" i="70"/>
  <c r="H42" i="70"/>
  <c r="G42" i="70"/>
  <c r="K7" i="70"/>
  <c r="F46" i="46"/>
  <c r="H46" i="46"/>
  <c r="G46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5" i="46"/>
  <c r="H45" i="46"/>
  <c r="G45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44" i="46"/>
  <c r="H44" i="46"/>
  <c r="G44" i="46"/>
  <c r="F14" i="46"/>
  <c r="F176" i="25"/>
  <c r="G176" i="25"/>
  <c r="H176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75" i="25"/>
  <c r="H175" i="25"/>
  <c r="G175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72" i="58"/>
  <c r="H72" i="58"/>
  <c r="G7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33" i="88"/>
  <c r="G33" i="88"/>
  <c r="H33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74" i="25"/>
  <c r="H174" i="25"/>
  <c r="G174" i="25"/>
  <c r="K40" i="25"/>
  <c r="F173" i="25"/>
  <c r="H173" i="25"/>
  <c r="G173" i="25"/>
  <c r="K39" i="25"/>
  <c r="F53" i="25"/>
  <c r="Z565" i="38" l="1"/>
  <c r="O565" i="38"/>
  <c r="U565" i="38"/>
  <c r="P565" i="38"/>
  <c r="Q11" i="89"/>
  <c r="F172" i="25"/>
  <c r="H172" i="25"/>
  <c r="G172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71" i="25"/>
  <c r="H171" i="25"/>
  <c r="G171" i="25"/>
  <c r="F51" i="25"/>
  <c r="F71" i="58"/>
  <c r="H71" i="58"/>
  <c r="G7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AC25" i="31" l="1"/>
  <c r="F170" i="25"/>
  <c r="H170" i="25"/>
  <c r="G170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69" i="25"/>
  <c r="H169" i="25"/>
  <c r="G169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69" i="58"/>
  <c r="H69" i="58"/>
  <c r="G69" i="58"/>
  <c r="F43" i="46"/>
  <c r="G43" i="46"/>
  <c r="H43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68" i="25"/>
  <c r="G168" i="25"/>
  <c r="H168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67" i="25"/>
  <c r="G167" i="25"/>
  <c r="H167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F107" i="51"/>
  <c r="G107" i="51"/>
  <c r="H107" i="51"/>
  <c r="K14" i="51"/>
  <c r="H85" i="90"/>
  <c r="K19" i="90"/>
  <c r="M19" i="90"/>
  <c r="H19" i="90"/>
  <c r="M85" i="90"/>
  <c r="F85" i="90"/>
  <c r="F19" i="90"/>
  <c r="K85" i="90"/>
  <c r="C85" i="90"/>
  <c r="C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66" i="25"/>
  <c r="H166" i="25"/>
  <c r="G166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2" i="46"/>
  <c r="G42" i="46"/>
  <c r="H42" i="46"/>
  <c r="F104" i="51"/>
  <c r="G104" i="51"/>
  <c r="H104" i="51"/>
  <c r="F165" i="25"/>
  <c r="G165" i="25"/>
  <c r="H165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64" i="25"/>
  <c r="H164" i="25"/>
  <c r="G164" i="25"/>
  <c r="K34" i="25"/>
  <c r="R11" i="58"/>
  <c r="Q11" i="58" s="1"/>
  <c r="F68" i="58"/>
  <c r="H68" i="58"/>
  <c r="G68" i="58"/>
  <c r="K9" i="58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K85" i="89"/>
  <c r="C19" i="89"/>
  <c r="H19" i="89"/>
  <c r="H58" i="51"/>
  <c r="F19" i="89"/>
  <c r="M19" i="89"/>
  <c r="K19" i="89"/>
  <c r="H85" i="89"/>
  <c r="M85" i="89"/>
  <c r="C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90" i="88"/>
  <c r="K90" i="88"/>
  <c r="H90" i="88"/>
  <c r="F90" i="88"/>
  <c r="C9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C85" i="87"/>
  <c r="M25" i="88"/>
  <c r="K91" i="88"/>
  <c r="M91" i="88"/>
  <c r="H91" i="88"/>
  <c r="F91" i="88"/>
  <c r="H19" i="87"/>
  <c r="K85" i="87"/>
  <c r="C19" i="87"/>
  <c r="K19" i="87"/>
  <c r="H85" i="87"/>
  <c r="M19" i="87"/>
  <c r="C91" i="88"/>
  <c r="F19" i="87"/>
  <c r="F25" i="88"/>
  <c r="F85" i="87"/>
  <c r="M85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7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41" i="46"/>
  <c r="H41" i="46"/>
  <c r="G41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63" i="25"/>
  <c r="G163" i="25"/>
  <c r="H163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K18" i="86"/>
  <c r="K6" i="70"/>
  <c r="K85" i="86"/>
  <c r="C19" i="86"/>
  <c r="F85" i="86"/>
  <c r="F19" i="86"/>
  <c r="M19" i="86"/>
  <c r="M85" i="86"/>
  <c r="C85" i="86"/>
  <c r="H85" i="86"/>
  <c r="H19" i="86"/>
  <c r="AA2" i="86" l="1"/>
  <c r="AB2" i="86" s="1"/>
  <c r="Q2" i="86"/>
  <c r="M66" i="86"/>
  <c r="Q10" i="86" s="1"/>
  <c r="AM2" i="86" s="1"/>
  <c r="F37" i="70"/>
  <c r="H37" i="70"/>
  <c r="G37" i="70"/>
  <c r="F11" i="70"/>
  <c r="G57" i="43"/>
  <c r="G58" i="43"/>
  <c r="F58" i="43"/>
  <c r="H58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M22" i="43"/>
  <c r="H22" i="43"/>
  <c r="C22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40" i="46"/>
  <c r="H40" i="46"/>
  <c r="G40" i="46"/>
  <c r="K5" i="46"/>
  <c r="F67" i="58"/>
  <c r="H67" i="58"/>
  <c r="G67" i="58"/>
  <c r="F10" i="58"/>
  <c r="K8" i="58"/>
  <c r="F162" i="25"/>
  <c r="H162" i="25"/>
  <c r="G162" i="25"/>
  <c r="K33" i="25"/>
  <c r="F38" i="84"/>
  <c r="H38" i="84"/>
  <c r="G38" i="84"/>
  <c r="K5" i="84"/>
  <c r="F161" i="25"/>
  <c r="G161" i="25"/>
  <c r="H16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0" i="25"/>
  <c r="H160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39" i="46"/>
  <c r="H39" i="46"/>
  <c r="G39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0" i="25"/>
  <c r="K30" i="25"/>
  <c r="Z548" i="38" l="1"/>
  <c r="P548" i="38"/>
  <c r="O548" i="38"/>
  <c r="U548" i="38"/>
  <c r="F159" i="25"/>
  <c r="G159" i="25"/>
  <c r="H15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58" i="25"/>
  <c r="H158" i="25"/>
  <c r="G15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57" i="25"/>
  <c r="H157" i="25"/>
  <c r="G157" i="25"/>
  <c r="K27" i="25"/>
  <c r="H38" i="46"/>
  <c r="F38" i="46"/>
  <c r="G38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56" i="25"/>
  <c r="H156" i="25"/>
  <c r="G156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37" i="46"/>
  <c r="F37" i="46"/>
  <c r="G37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55" i="25"/>
  <c r="H155" i="25"/>
  <c r="G155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36" i="84"/>
  <c r="H36" i="84"/>
  <c r="G36" i="84"/>
  <c r="K4" i="84"/>
  <c r="F154" i="25"/>
  <c r="H154" i="25"/>
  <c r="G154" i="25"/>
  <c r="F153" i="25"/>
  <c r="H153" i="25"/>
  <c r="G153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6" i="46"/>
  <c r="H36" i="46"/>
  <c r="G36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52" i="25"/>
  <c r="H152" i="25"/>
  <c r="G152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51" i="25"/>
  <c r="H151" i="25"/>
  <c r="G151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5" i="46"/>
  <c r="H35" i="46"/>
  <c r="G35" i="46"/>
  <c r="F12" i="46"/>
  <c r="F34" i="84"/>
  <c r="H34" i="84"/>
  <c r="G34" i="84"/>
  <c r="K3" i="84"/>
  <c r="O523" i="38" l="1"/>
  <c r="Z523" i="38"/>
  <c r="N522" i="38"/>
  <c r="P522" i="38"/>
  <c r="F93" i="51"/>
  <c r="G93" i="51"/>
  <c r="H93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4" i="46"/>
  <c r="H34" i="46"/>
  <c r="G34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3" i="46"/>
  <c r="H33" i="46"/>
  <c r="G33" i="46"/>
  <c r="K2" i="46"/>
  <c r="F150" i="25"/>
  <c r="H150" i="25"/>
  <c r="G150" i="25"/>
  <c r="F46" i="25"/>
  <c r="F54" i="43"/>
  <c r="H54" i="43"/>
  <c r="G54" i="43"/>
  <c r="M21" i="43"/>
  <c r="H21" i="43"/>
  <c r="K6" i="43"/>
  <c r="C21" i="40"/>
  <c r="M24" i="46"/>
  <c r="K24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9" i="25"/>
  <c r="H149" i="25"/>
  <c r="G149" i="25"/>
  <c r="K24" i="25"/>
  <c r="F40" i="77"/>
  <c r="H40" i="77"/>
  <c r="G40" i="77"/>
  <c r="F9" i="77"/>
  <c r="F32" i="46"/>
  <c r="H32" i="46"/>
  <c r="G32" i="46"/>
  <c r="F9" i="46"/>
  <c r="F8" i="46"/>
  <c r="F53" i="43"/>
  <c r="H53" i="43"/>
  <c r="G53" i="43"/>
  <c r="F12" i="43"/>
  <c r="F24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31" i="46"/>
  <c r="H31" i="46"/>
  <c r="G31" i="46"/>
  <c r="F148" i="25"/>
  <c r="H148" i="25"/>
  <c r="G148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47" i="25"/>
  <c r="H147" i="25"/>
  <c r="G14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3" i="58"/>
  <c r="G63" i="58"/>
  <c r="H63" i="58"/>
  <c r="F92" i="51"/>
  <c r="G92" i="51"/>
  <c r="H92" i="51"/>
  <c r="F146" i="25"/>
  <c r="G146" i="25"/>
  <c r="H146" i="25"/>
  <c r="O508" i="38" l="1"/>
  <c r="Z508" i="38"/>
  <c r="P507" i="38"/>
  <c r="N507" i="38"/>
  <c r="F145" i="25"/>
  <c r="G145" i="25"/>
  <c r="H145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0" i="46"/>
  <c r="G30" i="46"/>
  <c r="H30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91" i="51"/>
  <c r="G91" i="51"/>
  <c r="H91" i="51"/>
  <c r="F144" i="25"/>
  <c r="G144" i="25"/>
  <c r="H144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83" i="45"/>
  <c r="K82" i="45"/>
  <c r="F82" i="45"/>
  <c r="K81" i="45"/>
  <c r="F81" i="45"/>
  <c r="K80" i="45"/>
  <c r="F80" i="45"/>
  <c r="K79" i="45"/>
  <c r="F79" i="45"/>
  <c r="K78" i="45"/>
  <c r="F78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43" i="25"/>
  <c r="H143" i="25"/>
  <c r="G143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42" i="25"/>
  <c r="H142" i="25"/>
  <c r="G142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41" i="25"/>
  <c r="H141" i="25"/>
  <c r="G141" i="25"/>
  <c r="K20" i="25"/>
  <c r="H108" i="81"/>
  <c r="G108" i="81"/>
  <c r="F108" i="81"/>
  <c r="H107" i="81"/>
  <c r="G107" i="81"/>
  <c r="F107" i="81"/>
  <c r="K86" i="81"/>
  <c r="F86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0" i="25"/>
  <c r="H140" i="25"/>
  <c r="G140" i="25"/>
  <c r="K19" i="25"/>
  <c r="M91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39" i="25"/>
  <c r="H139" i="25"/>
  <c r="G139" i="25"/>
  <c r="K18" i="25"/>
  <c r="F138" i="25"/>
  <c r="H138" i="25"/>
  <c r="G138" i="25"/>
  <c r="K17" i="25"/>
  <c r="P486" i="38" l="1"/>
  <c r="N486" i="38"/>
  <c r="F137" i="25"/>
  <c r="G137" i="25"/>
  <c r="H137" i="25"/>
  <c r="F29" i="46"/>
  <c r="G29" i="46"/>
  <c r="H29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C85" i="85"/>
  <c r="F19" i="85"/>
  <c r="K85" i="85"/>
  <c r="H19" i="85"/>
  <c r="K19" i="85"/>
  <c r="M85" i="85"/>
  <c r="H85" i="85"/>
  <c r="F85" i="85"/>
  <c r="C19" i="85"/>
  <c r="M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0" i="84"/>
  <c r="K100" i="84"/>
  <c r="H100" i="84"/>
  <c r="F100" i="84"/>
  <c r="C100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101" i="84"/>
  <c r="H19" i="83"/>
  <c r="C19" i="84"/>
  <c r="F19" i="83"/>
  <c r="K19" i="83"/>
  <c r="M19" i="84"/>
  <c r="H85" i="83"/>
  <c r="K101" i="84"/>
  <c r="M19" i="83"/>
  <c r="M101" i="84"/>
  <c r="M85" i="83"/>
  <c r="C101" i="84"/>
  <c r="F85" i="83"/>
  <c r="H19" i="84"/>
  <c r="K85" i="83"/>
  <c r="C19" i="83"/>
  <c r="C85" i="83"/>
  <c r="F19" i="84"/>
  <c r="H101" i="84"/>
  <c r="O484" i="38" l="1"/>
  <c r="Z484" i="38"/>
  <c r="Q5" i="85"/>
  <c r="Q3" i="85"/>
  <c r="Q6" i="85" s="1"/>
  <c r="Q7" i="85"/>
  <c r="M82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88" i="51"/>
  <c r="G88" i="51"/>
  <c r="H88" i="51"/>
  <c r="K42" i="54"/>
  <c r="F42" i="54"/>
  <c r="H100" i="54"/>
  <c r="G100" i="54"/>
  <c r="F100" i="54"/>
  <c r="H99" i="54"/>
  <c r="G99" i="54"/>
  <c r="F99" i="54"/>
  <c r="F136" i="25"/>
  <c r="G136" i="25"/>
  <c r="H136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H19" i="82"/>
  <c r="H60" i="82"/>
  <c r="M18" i="74"/>
  <c r="C18" i="74"/>
  <c r="F60" i="82"/>
  <c r="H18" i="74"/>
  <c r="M19" i="82"/>
  <c r="K60" i="82"/>
  <c r="C60" i="82"/>
  <c r="M60" i="82"/>
  <c r="C19" i="82"/>
  <c r="F19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28" i="46"/>
  <c r="G28" i="46"/>
  <c r="H28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35" i="25"/>
  <c r="G135" i="25"/>
  <c r="H135" i="25"/>
  <c r="K15" i="25"/>
  <c r="F29" i="78"/>
  <c r="H29" i="78"/>
  <c r="G29" i="78"/>
  <c r="F29" i="70"/>
  <c r="H29" i="70"/>
  <c r="G29" i="70"/>
  <c r="K5" i="51"/>
  <c r="F6" i="70"/>
  <c r="F134" i="25"/>
  <c r="H134" i="25"/>
  <c r="G134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03" i="46"/>
  <c r="G103" i="46"/>
  <c r="F103" i="46"/>
  <c r="H102" i="46"/>
  <c r="G102" i="46"/>
  <c r="F102" i="46"/>
  <c r="H101" i="46"/>
  <c r="G101" i="46"/>
  <c r="F101" i="46"/>
  <c r="H100" i="46"/>
  <c r="G100" i="46"/>
  <c r="F100" i="46"/>
  <c r="H99" i="46"/>
  <c r="G99" i="46"/>
  <c r="F99" i="46"/>
  <c r="H98" i="46"/>
  <c r="G98" i="46"/>
  <c r="F98" i="46"/>
  <c r="H97" i="46"/>
  <c r="G97" i="46"/>
  <c r="F97" i="46"/>
  <c r="H96" i="46"/>
  <c r="G96" i="46"/>
  <c r="F96" i="46"/>
  <c r="H95" i="46"/>
  <c r="G95" i="46"/>
  <c r="F95" i="46"/>
  <c r="H94" i="46"/>
  <c r="G94" i="46"/>
  <c r="F94" i="46"/>
  <c r="H93" i="46"/>
  <c r="G93" i="46"/>
  <c r="F93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33" i="25"/>
  <c r="H133" i="25"/>
  <c r="G133" i="25"/>
  <c r="K14" i="25"/>
  <c r="K78" i="75"/>
  <c r="F96" i="31"/>
  <c r="F78" i="75"/>
  <c r="C78" i="75"/>
  <c r="K96" i="31"/>
  <c r="C96" i="31"/>
  <c r="M78" i="75"/>
  <c r="H96" i="31"/>
  <c r="H78" i="75"/>
  <c r="M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H18" i="64"/>
  <c r="F36" i="64"/>
  <c r="G36" i="64"/>
  <c r="H36" i="64"/>
  <c r="K85" i="64"/>
  <c r="M19" i="64"/>
  <c r="K19" i="64"/>
  <c r="H85" i="64"/>
  <c r="H19" i="64"/>
  <c r="M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32" i="25"/>
  <c r="H132" i="25"/>
  <c r="G132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2" i="81"/>
  <c r="K102" i="81"/>
  <c r="H102" i="81"/>
  <c r="F102" i="81"/>
  <c r="C102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9" i="81"/>
  <c r="F27" i="63"/>
  <c r="G27" i="63"/>
  <c r="H27" i="63"/>
  <c r="M30" i="81"/>
  <c r="H30" i="81"/>
  <c r="C103" i="81"/>
  <c r="F103" i="81"/>
  <c r="H103" i="81"/>
  <c r="K103" i="81"/>
  <c r="F30" i="81"/>
  <c r="M103" i="81"/>
  <c r="O468" i="38" l="1"/>
  <c r="Z468" i="38"/>
  <c r="M84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31" i="25"/>
  <c r="H131" i="25"/>
  <c r="G13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85" i="80"/>
  <c r="C19" i="80"/>
  <c r="C85" i="80"/>
  <c r="H19" i="80"/>
  <c r="K19" i="80"/>
  <c r="H85" i="80"/>
  <c r="M85" i="80"/>
  <c r="F19" i="80"/>
  <c r="M19" i="80"/>
  <c r="F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H65" i="79"/>
  <c r="F19" i="79"/>
  <c r="F65" i="79"/>
  <c r="M65" i="79"/>
  <c r="K19" i="79"/>
  <c r="H19" i="79"/>
  <c r="C19" i="79"/>
  <c r="C65" i="79"/>
  <c r="M19" i="79"/>
  <c r="K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0" i="25"/>
  <c r="G130" i="25"/>
  <c r="H130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9" i="25"/>
  <c r="H129" i="25"/>
  <c r="G129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28" i="25"/>
  <c r="G128" i="25"/>
  <c r="H128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27" i="25"/>
  <c r="H127" i="25"/>
  <c r="G12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6" i="43"/>
  <c r="G46" i="43"/>
  <c r="H46" i="43"/>
  <c r="F126" i="25"/>
  <c r="G126" i="25"/>
  <c r="H126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85" i="78"/>
  <c r="C19" i="78"/>
  <c r="H85" i="78"/>
  <c r="K19" i="78"/>
  <c r="M85" i="78"/>
  <c r="K85" i="78"/>
  <c r="M19" i="78"/>
  <c r="C85" i="78"/>
  <c r="F19" i="78"/>
  <c r="H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K22" i="43"/>
  <c r="Z442" i="38" l="1"/>
  <c r="O442" i="38"/>
  <c r="O443" i="38"/>
  <c r="Z443" i="38"/>
  <c r="K21" i="43"/>
  <c r="P442" i="38"/>
  <c r="U442" i="38"/>
  <c r="M90" i="25"/>
  <c r="F125" i="25"/>
  <c r="H125" i="25"/>
  <c r="G12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F19" i="77"/>
  <c r="K89" i="77"/>
  <c r="F89" i="77"/>
  <c r="C89" i="77"/>
  <c r="H19" i="77"/>
  <c r="M19" i="77"/>
  <c r="M89" i="77"/>
  <c r="H89" i="77"/>
  <c r="C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24" i="25"/>
  <c r="H124" i="25"/>
  <c r="G124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23" i="25"/>
  <c r="H123" i="25"/>
  <c r="G123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22" i="25"/>
  <c r="H122" i="25"/>
  <c r="G122" i="25"/>
  <c r="F33" i="25"/>
  <c r="F266" i="7"/>
  <c r="H266" i="7"/>
  <c r="G266" i="7"/>
  <c r="K102" i="7"/>
  <c r="G23" i="50"/>
  <c r="K23" i="50" s="1"/>
  <c r="F23" i="50"/>
  <c r="M18" i="50"/>
  <c r="C18" i="50"/>
  <c r="F18" i="50"/>
  <c r="F121" i="25"/>
  <c r="H121" i="25"/>
  <c r="G121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0" i="25"/>
  <c r="H120" i="25"/>
  <c r="G12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9" i="25"/>
  <c r="H119" i="25"/>
  <c r="G119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18" i="25"/>
  <c r="H118" i="25"/>
  <c r="G118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78" i="51"/>
  <c r="G78" i="51"/>
  <c r="H78" i="51"/>
  <c r="F261" i="7"/>
  <c r="H261" i="7"/>
  <c r="G261" i="7"/>
  <c r="F117" i="25"/>
  <c r="H117" i="25"/>
  <c r="G117" i="25"/>
  <c r="O416" i="38" l="1"/>
  <c r="Z416" i="38"/>
  <c r="E415" i="38"/>
  <c r="H415" i="38"/>
  <c r="K415" i="38"/>
  <c r="L415" i="38" s="1"/>
  <c r="P415" i="38" s="1"/>
  <c r="M415" i="38"/>
  <c r="U415" i="38" s="1"/>
  <c r="S415" i="38"/>
  <c r="F116" i="25"/>
  <c r="H116" i="25"/>
  <c r="G116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15" i="25"/>
  <c r="H115" i="25"/>
  <c r="G115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H77" i="69"/>
  <c r="F77" i="69"/>
  <c r="C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14" i="25"/>
  <c r="H114" i="25"/>
  <c r="G11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M19" i="76"/>
  <c r="F19" i="76"/>
  <c r="K19" i="76"/>
  <c r="C19" i="76"/>
  <c r="H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13" i="25"/>
  <c r="H113" i="25"/>
  <c r="G113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12" i="25"/>
  <c r="G112" i="25"/>
  <c r="H112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11" i="25"/>
  <c r="H111" i="25"/>
  <c r="G111" i="25"/>
  <c r="K6" i="25"/>
  <c r="O390" i="38" l="1"/>
  <c r="Z390" i="38"/>
  <c r="N389" i="38"/>
  <c r="P389" i="38"/>
  <c r="F110" i="25"/>
  <c r="G110" i="25"/>
  <c r="H110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9" i="25"/>
  <c r="G109" i="25"/>
  <c r="H10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08" i="25"/>
  <c r="G108" i="25"/>
  <c r="H108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07" i="25"/>
  <c r="G107" i="25"/>
  <c r="H107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76" i="45"/>
  <c r="F76" i="45"/>
  <c r="F425" i="17"/>
  <c r="K424" i="17"/>
  <c r="F424" i="17"/>
  <c r="K423" i="17"/>
  <c r="F423" i="17"/>
  <c r="K422" i="17"/>
  <c r="F422" i="17"/>
  <c r="K421" i="17"/>
  <c r="F421" i="17"/>
  <c r="K420" i="17"/>
  <c r="F420" i="17"/>
  <c r="F106" i="25"/>
  <c r="G106" i="25"/>
  <c r="H106" i="25"/>
  <c r="F43" i="58"/>
  <c r="G43" i="58"/>
  <c r="H43" i="58"/>
  <c r="F76" i="51"/>
  <c r="G76" i="51"/>
  <c r="H76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2" i="58" l="1"/>
  <c r="O379" i="38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75" i="51"/>
  <c r="G75" i="51"/>
  <c r="H75" i="51"/>
  <c r="F249" i="7"/>
  <c r="G249" i="7"/>
  <c r="H249" i="7"/>
  <c r="F105" i="25"/>
  <c r="G105" i="25"/>
  <c r="H105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04" i="25"/>
  <c r="G104" i="25"/>
  <c r="H10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03" i="25"/>
  <c r="G103" i="25"/>
  <c r="H10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02" i="25"/>
  <c r="G102" i="25"/>
  <c r="H10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01" i="25"/>
  <c r="H101" i="25"/>
  <c r="G10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0" i="25"/>
  <c r="G100" i="25"/>
  <c r="H100" i="25"/>
  <c r="E372" i="38"/>
  <c r="H372" i="38"/>
  <c r="K372" i="38"/>
  <c r="L372" i="38" s="1"/>
  <c r="M372" i="38"/>
  <c r="U372" i="38" s="1"/>
  <c r="S372" i="38"/>
  <c r="N372" i="38" l="1"/>
  <c r="P372" i="38"/>
  <c r="F99" i="25"/>
  <c r="G99" i="25"/>
  <c r="H99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98" i="25"/>
  <c r="G98" i="25"/>
  <c r="H98" i="25"/>
  <c r="F21" i="25"/>
  <c r="F73" i="51"/>
  <c r="G73" i="51"/>
  <c r="H73" i="51"/>
  <c r="F11" i="51"/>
  <c r="F10" i="51"/>
  <c r="F9" i="51"/>
  <c r="M93" i="68"/>
  <c r="H93" i="68"/>
  <c r="K93" i="68"/>
  <c r="C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97" i="25"/>
  <c r="G97" i="25"/>
  <c r="H97" i="25"/>
  <c r="K2" i="25"/>
  <c r="K90" i="25" s="1"/>
  <c r="K91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96" i="25"/>
  <c r="G96" i="25"/>
  <c r="H96" i="25"/>
  <c r="F20" i="25"/>
  <c r="F71" i="51"/>
  <c r="G71" i="51"/>
  <c r="H71" i="51"/>
  <c r="F7" i="51"/>
  <c r="P364" i="38" l="1"/>
  <c r="N364" i="38"/>
  <c r="K80" i="53"/>
  <c r="F80" i="53"/>
  <c r="H95" i="25"/>
  <c r="G95" i="25"/>
  <c r="F95" i="25"/>
  <c r="M765" i="25"/>
  <c r="H765" i="25"/>
  <c r="C765" i="25"/>
  <c r="F741" i="25"/>
  <c r="F740" i="25"/>
  <c r="F739" i="25"/>
  <c r="F738" i="25"/>
  <c r="F737" i="25"/>
  <c r="F736" i="25"/>
  <c r="F735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F647" i="25"/>
  <c r="F646" i="25"/>
  <c r="F645" i="25"/>
  <c r="K644" i="25"/>
  <c r="F644" i="25"/>
  <c r="F643" i="25"/>
  <c r="F642" i="25"/>
  <c r="F641" i="25"/>
  <c r="F640" i="25"/>
  <c r="F639" i="25"/>
  <c r="F638" i="25"/>
  <c r="F637" i="25"/>
  <c r="F636" i="25"/>
  <c r="F635" i="25"/>
  <c r="F634" i="25"/>
  <c r="F633" i="25"/>
  <c r="F632" i="25"/>
  <c r="F631" i="25"/>
  <c r="F630" i="25"/>
  <c r="F629" i="25"/>
  <c r="F628" i="25"/>
  <c r="F627" i="25"/>
  <c r="F626" i="25"/>
  <c r="F625" i="25"/>
  <c r="F624" i="25"/>
  <c r="F623" i="25"/>
  <c r="F622" i="25"/>
  <c r="F621" i="25"/>
  <c r="F620" i="25"/>
  <c r="F619" i="25"/>
  <c r="F618" i="25"/>
  <c r="F617" i="25"/>
  <c r="F616" i="25"/>
  <c r="F615" i="25"/>
  <c r="F614" i="25"/>
  <c r="F613" i="25"/>
  <c r="F612" i="25"/>
  <c r="F611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74" i="45"/>
  <c r="F74" i="45"/>
  <c r="K73" i="45"/>
  <c r="F73" i="45"/>
  <c r="K72" i="45"/>
  <c r="F72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M766" i="25"/>
  <c r="K766" i="25"/>
  <c r="C766" i="25"/>
  <c r="F766" i="25"/>
  <c r="H766" i="25"/>
  <c r="O364" i="38" l="1"/>
  <c r="Z364" i="38"/>
  <c r="N363" i="38"/>
  <c r="F765" i="25"/>
  <c r="K765" i="25"/>
  <c r="P363" i="38"/>
  <c r="O363" i="38" l="1"/>
  <c r="Z363" i="38"/>
  <c r="M502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4" i="43"/>
  <c r="H84" i="43"/>
  <c r="C84" i="43"/>
  <c r="P24" i="43"/>
  <c r="P23" i="43"/>
  <c r="P22" i="43"/>
  <c r="P21" i="43"/>
  <c r="P20" i="43"/>
  <c r="P19" i="43"/>
  <c r="P18" i="43"/>
  <c r="K77" i="43"/>
  <c r="K84" i="43" s="1"/>
  <c r="F77" i="43"/>
  <c r="F84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89" i="46"/>
  <c r="H89" i="46"/>
  <c r="C89" i="46"/>
  <c r="P25" i="46"/>
  <c r="P24" i="46"/>
  <c r="P23" i="46"/>
  <c r="P22" i="46"/>
  <c r="P21" i="46"/>
  <c r="P20" i="46"/>
  <c r="P19" i="46"/>
  <c r="K79" i="46"/>
  <c r="K78" i="46"/>
  <c r="F78" i="46"/>
  <c r="K77" i="46"/>
  <c r="F77" i="46"/>
  <c r="H27" i="46"/>
  <c r="G27" i="46"/>
  <c r="F27" i="46"/>
  <c r="K23" i="46"/>
  <c r="H23" i="46"/>
  <c r="F23" i="46"/>
  <c r="C23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8" i="45"/>
  <c r="H98" i="45"/>
  <c r="C98" i="45"/>
  <c r="K70" i="45"/>
  <c r="F70" i="45"/>
  <c r="K69" i="45"/>
  <c r="F69" i="45"/>
  <c r="K68" i="45"/>
  <c r="F68" i="45"/>
  <c r="F67" i="45"/>
  <c r="K66" i="45"/>
  <c r="F66" i="45"/>
  <c r="K65" i="45"/>
  <c r="F65" i="45"/>
  <c r="K64" i="45"/>
  <c r="F64" i="45"/>
  <c r="K63" i="45"/>
  <c r="F63" i="45"/>
  <c r="K62" i="45"/>
  <c r="F62" i="45"/>
  <c r="K61" i="45"/>
  <c r="F61" i="45"/>
  <c r="K60" i="45"/>
  <c r="F60" i="45"/>
  <c r="F59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70" i="58"/>
  <c r="H170" i="58"/>
  <c r="C170" i="58"/>
  <c r="K161" i="58"/>
  <c r="F161" i="58"/>
  <c r="K160" i="58"/>
  <c r="F160" i="58"/>
  <c r="K154" i="58"/>
  <c r="F154" i="58"/>
  <c r="H144" i="58"/>
  <c r="G144" i="58"/>
  <c r="F144" i="58"/>
  <c r="H143" i="58"/>
  <c r="G143" i="58"/>
  <c r="F143" i="58"/>
  <c r="H142" i="58"/>
  <c r="G142" i="58"/>
  <c r="F142" i="58"/>
  <c r="H141" i="58"/>
  <c r="G141" i="58"/>
  <c r="F141" i="58"/>
  <c r="H140" i="58"/>
  <c r="G140" i="58"/>
  <c r="F140" i="58"/>
  <c r="H139" i="58"/>
  <c r="G139" i="58"/>
  <c r="F139" i="58"/>
  <c r="H138" i="58"/>
  <c r="G138" i="58"/>
  <c r="F138" i="58"/>
  <c r="H137" i="58"/>
  <c r="G137" i="58"/>
  <c r="F137" i="58"/>
  <c r="H136" i="58"/>
  <c r="G136" i="58"/>
  <c r="F136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P37" i="58"/>
  <c r="H129" i="58"/>
  <c r="G129" i="58"/>
  <c r="F129" i="58"/>
  <c r="P36" i="58"/>
  <c r="H128" i="58"/>
  <c r="G128" i="58"/>
  <c r="F128" i="58"/>
  <c r="P35" i="58"/>
  <c r="H127" i="58"/>
  <c r="G127" i="58"/>
  <c r="F127" i="58"/>
  <c r="P34" i="58"/>
  <c r="H126" i="58"/>
  <c r="G126" i="58"/>
  <c r="F126" i="58"/>
  <c r="P33" i="58"/>
  <c r="P32" i="58"/>
  <c r="P31" i="58"/>
  <c r="P30" i="58"/>
  <c r="H122" i="58"/>
  <c r="G122" i="58"/>
  <c r="F122" i="58"/>
  <c r="P29" i="58"/>
  <c r="H121" i="58"/>
  <c r="G121" i="58"/>
  <c r="F121" i="58"/>
  <c r="P28" i="58"/>
  <c r="H120" i="58"/>
  <c r="G120" i="58"/>
  <c r="F120" i="58"/>
  <c r="P27" i="58"/>
  <c r="H119" i="58"/>
  <c r="G119" i="58"/>
  <c r="F119" i="58"/>
  <c r="P26" i="58"/>
  <c r="H118" i="58"/>
  <c r="G118" i="58"/>
  <c r="F118" i="58"/>
  <c r="P25" i="58"/>
  <c r="H117" i="58"/>
  <c r="G117" i="58"/>
  <c r="F117" i="58"/>
  <c r="P24" i="58"/>
  <c r="H116" i="58"/>
  <c r="G116" i="58"/>
  <c r="F116" i="58"/>
  <c r="P23" i="58"/>
  <c r="H115" i="58"/>
  <c r="G115" i="58"/>
  <c r="F115" i="58"/>
  <c r="P22" i="58"/>
  <c r="H114" i="58"/>
  <c r="G114" i="58"/>
  <c r="F114" i="58"/>
  <c r="P21" i="58"/>
  <c r="H113" i="58"/>
  <c r="G113" i="58"/>
  <c r="F113" i="58"/>
  <c r="P20" i="58"/>
  <c r="H112" i="58"/>
  <c r="G112" i="58"/>
  <c r="F112" i="58"/>
  <c r="P19" i="58"/>
  <c r="H111" i="58"/>
  <c r="G111" i="58"/>
  <c r="F111" i="58"/>
  <c r="P18" i="58"/>
  <c r="H110" i="58"/>
  <c r="G110" i="58"/>
  <c r="F110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85" i="51"/>
  <c r="H288" i="51"/>
  <c r="C288" i="51"/>
  <c r="F282" i="51"/>
  <c r="F281" i="51"/>
  <c r="F280" i="51"/>
  <c r="K279" i="51"/>
  <c r="F279" i="51"/>
  <c r="K278" i="51"/>
  <c r="F278" i="51"/>
  <c r="K277" i="51"/>
  <c r="F277" i="51"/>
  <c r="K276" i="51"/>
  <c r="F276" i="51"/>
  <c r="K275" i="51"/>
  <c r="F275" i="51"/>
  <c r="K274" i="51"/>
  <c r="F274" i="51"/>
  <c r="K273" i="51"/>
  <c r="F273" i="51"/>
  <c r="K272" i="51"/>
  <c r="F272" i="51"/>
  <c r="K271" i="51"/>
  <c r="F271" i="51"/>
  <c r="K270" i="51"/>
  <c r="F270" i="51"/>
  <c r="K269" i="51"/>
  <c r="F269" i="51"/>
  <c r="K268" i="51"/>
  <c r="F268" i="51"/>
  <c r="K267" i="51"/>
  <c r="F267" i="51"/>
  <c r="K266" i="51"/>
  <c r="F266" i="51"/>
  <c r="K265" i="51"/>
  <c r="F265" i="51"/>
  <c r="K264" i="51"/>
  <c r="F264" i="51"/>
  <c r="F263" i="51"/>
  <c r="K262" i="51"/>
  <c r="F262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P43" i="51"/>
  <c r="H183" i="51"/>
  <c r="G183" i="51"/>
  <c r="F183" i="51"/>
  <c r="P42" i="51"/>
  <c r="H182" i="51"/>
  <c r="G182" i="51"/>
  <c r="F182" i="51"/>
  <c r="P41" i="51"/>
  <c r="H181" i="51"/>
  <c r="G181" i="51"/>
  <c r="F181" i="51"/>
  <c r="P40" i="51"/>
  <c r="H180" i="51"/>
  <c r="G180" i="51"/>
  <c r="F180" i="51"/>
  <c r="P39" i="51"/>
  <c r="H179" i="51"/>
  <c r="G179" i="51"/>
  <c r="F179" i="51"/>
  <c r="P38" i="51"/>
  <c r="H178" i="51"/>
  <c r="G178" i="51"/>
  <c r="F178" i="51"/>
  <c r="P37" i="51"/>
  <c r="H177" i="51"/>
  <c r="G177" i="51"/>
  <c r="F177" i="51"/>
  <c r="P36" i="51"/>
  <c r="H176" i="51"/>
  <c r="G176" i="51"/>
  <c r="F176" i="51"/>
  <c r="P35" i="51"/>
  <c r="H175" i="51"/>
  <c r="G175" i="51"/>
  <c r="F175" i="51"/>
  <c r="P34" i="51"/>
  <c r="H174" i="51"/>
  <c r="G174" i="51"/>
  <c r="F174" i="51"/>
  <c r="P33" i="51"/>
  <c r="H173" i="51"/>
  <c r="G173" i="51"/>
  <c r="F173" i="51"/>
  <c r="P32" i="51"/>
  <c r="H172" i="51"/>
  <c r="G172" i="51"/>
  <c r="F172" i="51"/>
  <c r="P31" i="51"/>
  <c r="H171" i="51"/>
  <c r="G171" i="51"/>
  <c r="F171" i="51"/>
  <c r="P30" i="51"/>
  <c r="H170" i="51"/>
  <c r="G170" i="51"/>
  <c r="F170" i="51"/>
  <c r="P29" i="51"/>
  <c r="H169" i="51"/>
  <c r="G169" i="51"/>
  <c r="F169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H248" i="25"/>
  <c r="G248" i="25"/>
  <c r="H247" i="25"/>
  <c r="G247" i="25"/>
  <c r="H246" i="25"/>
  <c r="G246" i="25"/>
  <c r="H245" i="25"/>
  <c r="G245" i="25"/>
  <c r="H244" i="25"/>
  <c r="G244" i="25"/>
  <c r="H243" i="25"/>
  <c r="G243" i="25"/>
  <c r="H9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61" i="69"/>
  <c r="P60" i="69"/>
  <c r="P59" i="69"/>
  <c r="P58" i="69"/>
  <c r="P57" i="69"/>
  <c r="P56" i="69"/>
  <c r="P55" i="69"/>
  <c r="P54" i="69"/>
  <c r="P53" i="69"/>
  <c r="P52" i="69"/>
  <c r="P51" i="69"/>
  <c r="P50" i="69"/>
  <c r="P49" i="69"/>
  <c r="P48" i="69"/>
  <c r="P47" i="69"/>
  <c r="P46" i="69"/>
  <c r="P45" i="69"/>
  <c r="P44" i="69"/>
  <c r="P43" i="69"/>
  <c r="P42" i="69"/>
  <c r="P41" i="69"/>
  <c r="M18" i="69"/>
  <c r="H18" i="69"/>
  <c r="Q11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63" i="66"/>
  <c r="C19" i="50"/>
  <c r="M19" i="75"/>
  <c r="C19" i="71"/>
  <c r="C99" i="45"/>
  <c r="C65" i="71"/>
  <c r="F30" i="49"/>
  <c r="H72" i="59"/>
  <c r="F19" i="45"/>
  <c r="K67" i="60"/>
  <c r="C19" i="66"/>
  <c r="F19" i="71"/>
  <c r="C94" i="52"/>
  <c r="F119" i="7"/>
  <c r="M19" i="53"/>
  <c r="C30" i="49"/>
  <c r="H19" i="34"/>
  <c r="M171" i="58"/>
  <c r="M19" i="54"/>
  <c r="K90" i="72"/>
  <c r="K30" i="49"/>
  <c r="C19" i="54"/>
  <c r="K19" i="75"/>
  <c r="K19" i="66"/>
  <c r="C19" i="63"/>
  <c r="K65" i="63"/>
  <c r="M63" i="66"/>
  <c r="F25" i="31"/>
  <c r="K19" i="61"/>
  <c r="C19" i="64"/>
  <c r="K19" i="70"/>
  <c r="H51" i="54"/>
  <c r="F19" i="62"/>
  <c r="C451" i="17"/>
  <c r="K77" i="70"/>
  <c r="M19" i="55"/>
  <c r="F77" i="70"/>
  <c r="M81" i="61"/>
  <c r="C86" i="53"/>
  <c r="K51" i="54"/>
  <c r="M67" i="60"/>
  <c r="M19" i="71"/>
  <c r="F75" i="41"/>
  <c r="M75" i="41"/>
  <c r="K63" i="66"/>
  <c r="F19" i="52"/>
  <c r="K23" i="57"/>
  <c r="M19" i="66"/>
  <c r="H19" i="54"/>
  <c r="C91" i="25"/>
  <c r="K171" i="58"/>
  <c r="C119" i="7"/>
  <c r="F171" i="58"/>
  <c r="H90" i="72"/>
  <c r="C19" i="55"/>
  <c r="H451" i="17"/>
  <c r="M19" i="72"/>
  <c r="K213" i="57"/>
  <c r="F19" i="61"/>
  <c r="C156" i="49"/>
  <c r="K19" i="52"/>
  <c r="C213" i="57"/>
  <c r="M65" i="71"/>
  <c r="M19" i="50"/>
  <c r="K19" i="3"/>
  <c r="C19" i="60"/>
  <c r="K58" i="51"/>
  <c r="H25" i="31"/>
  <c r="F19" i="68"/>
  <c r="C19" i="45"/>
  <c r="H81" i="61"/>
  <c r="M58" i="51"/>
  <c r="C55" i="50"/>
  <c r="H19" i="55"/>
  <c r="F19" i="34"/>
  <c r="H75" i="41"/>
  <c r="C19" i="70"/>
  <c r="K75" i="41"/>
  <c r="M19" i="34"/>
  <c r="H19" i="68"/>
  <c r="C23" i="57"/>
  <c r="H30" i="40"/>
  <c r="F100" i="34"/>
  <c r="F19" i="53"/>
  <c r="M19" i="41"/>
  <c r="H19" i="66"/>
  <c r="C77" i="70"/>
  <c r="F19" i="73"/>
  <c r="H63" i="66"/>
  <c r="M19" i="62"/>
  <c r="H30" i="49"/>
  <c r="K30" i="40"/>
  <c r="K65" i="71"/>
  <c r="F86" i="53"/>
  <c r="C33" i="58"/>
  <c r="C19" i="68"/>
  <c r="M51" i="54"/>
  <c r="K55" i="50"/>
  <c r="F213" i="57"/>
  <c r="H19" i="72"/>
  <c r="K72" i="59"/>
  <c r="K19" i="71"/>
  <c r="C25" i="31"/>
  <c r="M25" i="31"/>
  <c r="K19" i="53"/>
  <c r="K25" i="31"/>
  <c r="F156" i="49"/>
  <c r="F91" i="25"/>
  <c r="K19" i="62"/>
  <c r="H19" i="63"/>
  <c r="K19" i="59"/>
  <c r="M23" i="17"/>
  <c r="K19" i="50"/>
  <c r="C19" i="73"/>
  <c r="H100" i="34"/>
  <c r="M19" i="60"/>
  <c r="M213" i="57"/>
  <c r="C19" i="62"/>
  <c r="M451" i="17"/>
  <c r="M19" i="59"/>
  <c r="K19" i="55"/>
  <c r="F65" i="63"/>
  <c r="F55" i="50"/>
  <c r="H67" i="60"/>
  <c r="K119" i="7"/>
  <c r="M23" i="57"/>
  <c r="H91" i="25"/>
  <c r="H213" i="57"/>
  <c r="M30" i="49"/>
  <c r="M100" i="34"/>
  <c r="H19" i="50"/>
  <c r="C63" i="66"/>
  <c r="H77" i="70"/>
  <c r="K86" i="53"/>
  <c r="K19" i="34"/>
  <c r="F19" i="75"/>
  <c r="K19" i="73"/>
  <c r="H19" i="62"/>
  <c r="C19" i="3"/>
  <c r="M19" i="61"/>
  <c r="F18" i="74"/>
  <c r="K19" i="68"/>
  <c r="F19" i="55"/>
  <c r="K156" i="49"/>
  <c r="F22" i="43"/>
  <c r="F67" i="60"/>
  <c r="C72" i="59"/>
  <c r="C85" i="64"/>
  <c r="C100" i="34"/>
  <c r="F30" i="40"/>
  <c r="F51" i="54"/>
  <c r="H19" i="75"/>
  <c r="M94" i="52"/>
  <c r="M19" i="73"/>
  <c r="C67" i="60"/>
  <c r="F19" i="64"/>
  <c r="F19" i="59"/>
  <c r="F19" i="50"/>
  <c r="H99" i="45"/>
  <c r="C19" i="61"/>
  <c r="H119" i="7"/>
  <c r="K19" i="41"/>
  <c r="C90" i="72"/>
  <c r="C19" i="34"/>
  <c r="K451" i="17"/>
  <c r="C81" i="61"/>
  <c r="H23" i="17"/>
  <c r="F23" i="57"/>
  <c r="F19" i="70"/>
  <c r="M33" i="58"/>
  <c r="M119" i="7"/>
  <c r="F85" i="64"/>
  <c r="K99" i="45"/>
  <c r="C75" i="41"/>
  <c r="F90" i="72"/>
  <c r="F451" i="17"/>
  <c r="H19" i="3"/>
  <c r="M19" i="3"/>
  <c r="M19" i="63"/>
  <c r="H33" i="58"/>
  <c r="C51" i="54"/>
  <c r="H19" i="73"/>
  <c r="H171" i="58"/>
  <c r="K33" i="58"/>
  <c r="H19" i="59"/>
  <c r="F19" i="41"/>
  <c r="K100" i="34"/>
  <c r="K23" i="17"/>
  <c r="F23" i="17"/>
  <c r="F19" i="54"/>
  <c r="H19" i="70"/>
  <c r="M77" i="70"/>
  <c r="F58" i="51"/>
  <c r="H65" i="71"/>
  <c r="C30" i="40"/>
  <c r="M19" i="52"/>
  <c r="H19" i="52"/>
  <c r="M86" i="53"/>
  <c r="H94" i="52"/>
  <c r="K81" i="61"/>
  <c r="K19" i="69"/>
  <c r="F33" i="58"/>
  <c r="K19" i="63"/>
  <c r="F19" i="60"/>
  <c r="K19" i="60"/>
  <c r="F19" i="69"/>
  <c r="H86" i="53"/>
  <c r="H19" i="71"/>
  <c r="K19" i="72"/>
  <c r="M19" i="68"/>
  <c r="M156" i="49"/>
  <c r="M19" i="45"/>
  <c r="C19" i="59"/>
  <c r="M55" i="50"/>
  <c r="K18" i="74"/>
  <c r="C19" i="41"/>
  <c r="K19" i="54"/>
  <c r="H55" i="50"/>
  <c r="M72" i="59"/>
  <c r="F19" i="72"/>
  <c r="K94" i="52"/>
  <c r="C19" i="52"/>
  <c r="F19" i="3"/>
  <c r="F72" i="59"/>
  <c r="M65" i="63"/>
  <c r="F19" i="63"/>
  <c r="C23" i="17"/>
  <c r="M19" i="69"/>
  <c r="F81" i="61"/>
  <c r="M30" i="40"/>
  <c r="H156" i="49"/>
  <c r="H19" i="69"/>
  <c r="M99" i="45"/>
  <c r="H19" i="60"/>
  <c r="F65" i="71"/>
  <c r="F94" i="52"/>
  <c r="C19" i="53"/>
  <c r="F99" i="45"/>
  <c r="C171" i="58"/>
  <c r="M19" i="70"/>
  <c r="F19" i="66"/>
  <c r="H65" i="63"/>
  <c r="H19" i="53"/>
  <c r="C19" i="72"/>
  <c r="H19" i="41"/>
  <c r="C65" i="63"/>
  <c r="C19" i="75"/>
  <c r="C19" i="69"/>
  <c r="M90" i="72"/>
  <c r="H19" i="61"/>
  <c r="V683" i="38" l="1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F32" i="58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0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49"/>
  <c r="F155" i="49"/>
  <c r="Q2" i="41"/>
  <c r="Q8" i="41" s="1"/>
  <c r="F170" i="58"/>
  <c r="K170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8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89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8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89" i="46"/>
  <c r="F51" i="24"/>
  <c r="F120" i="40"/>
  <c r="M75" i="43"/>
  <c r="Q10" i="43" s="1"/>
  <c r="F288" i="51"/>
  <c r="K288" i="51"/>
  <c r="Q2" i="44"/>
  <c r="Q3" i="44" s="1"/>
  <c r="Q6" i="44" s="1"/>
  <c r="Q2" i="32"/>
  <c r="Q8" i="32" s="1"/>
  <c r="F44" i="26"/>
  <c r="K44" i="26"/>
  <c r="Q2" i="71"/>
  <c r="M104" i="49"/>
  <c r="Q2" i="25"/>
  <c r="W683" i="38" l="1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683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7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52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75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57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82" i="38" l="1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5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6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7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8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9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0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1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2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3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4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5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6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7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8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9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9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0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2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5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9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0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<sst xmlns="http://schemas.openxmlformats.org/spreadsheetml/2006/main" count="7719" uniqueCount="1207">
  <si>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</si>
  <si>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</si>
  <si>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</si>
  <si>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</si>
  <si>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</si>
  <si>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</si>
  <si>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</si>
  <si>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</si>
  <si>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</si>
  <si>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</si>
  <si>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</si>
  <si>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</si>
  <si>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</si>
  <si>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</si>
  <si>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</si>
  <si>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</si>
  <si>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</si>
  <si>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</si>
  <si>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</si>
  <si>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</si>
  <si>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</si>
  <si>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</si>
  <si>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</si>
  <si>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</si>
  <si>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</si>
  <si>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</si>
  <si>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</si>
  <si>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</si>
  <si>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</si>
  <si>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</si>
  <si>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</si>
  <si>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</si>
  <si>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</si>
  <si>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</si>
  <si>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</si>
  <si>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</si>
  <si>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</si>
  <si>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</si>
  <si>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</si>
  <si>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</si>
  <si>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</si>
  <si>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</si>
  <si>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</si>
  <si>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</si>
  <si>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</si>
  <si>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</si>
  <si>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</si>
  <si>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</si>
  <si>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</si>
  <si>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</si>
  <si>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</si>
  <si>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</si>
  <si>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</si>
  <si>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</si>
  <si>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</si>
  <si>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</si>
  <si>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</si>
  <si>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</si>
  <si>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</si>
  <si>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</si>
  <si>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</si>
  <si>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</si>
  <si>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</si>
  <si>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</si>
  <si>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</si>
  <si>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</si>
  <si>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</si>
  <si>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</si>
  <si>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</si>
  <si>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</si>
  <si>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</si>
  <si>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</si>
  <si>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</si>
  <si>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</si>
  <si>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</si>
  <si>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</si>
  <si>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</si>
  <si>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</si>
  <si>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</si>
  <si>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</si>
  <si>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</si>
  <si>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</si>
  <si>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</si>
  <si>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</si>
  <si>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</si>
  <si>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</si>
  <si>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</si>
  <si>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</si>
  <si>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</si>
  <si>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</si>
  <si>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</si>
  <si>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</si>
  <si>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</si>
  <si>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</si>
  <si>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</si>
  <si>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</si>
  <si>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</si>
  <si>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</si>
  <si>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</si>
  <si>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</si>
  <si>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</si>
  <si>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</si>
  <si>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</si>
  <si>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</si>
  <si>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</si>
  <si>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</si>
  <si>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</si>
  <si>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</si>
  <si>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</si>
  <si>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</si>
  <si>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</si>
  <si>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</si>
  <si>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</si>
  <si>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</si>
  <si>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</si>
  <si>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</si>
  <si>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</si>
  <si>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</si>
  <si>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</si>
  <si>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</si>
  <si>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</si>
  <si>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</si>
  <si>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</si>
  <si>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</si>
  <si>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</si>
  <si>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</si>
  <si>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</si>
  <si>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</si>
  <si>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</si>
  <si>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</si>
  <si>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</si>
  <si>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</si>
  <si>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</si>
  <si>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</si>
  <si>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</si>
  <si>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</si>
  <si>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</si>
  <si>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</si>
  <si>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</si>
  <si>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</si>
  <si>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</si>
  <si>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</si>
  <si>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</si>
  <si>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</si>
  <si>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</si>
  <si>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</si>
  <si>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</si>
  <si>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</si>
  <si>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</si>
  <si>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</si>
  <si>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</si>
  <si>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</si>
  <si>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</si>
  <si>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</si>
  <si>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</si>
  <si>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</si>
  <si>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</si>
  <si>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</si>
  <si>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</si>
  <si>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</si>
  <si>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</si>
  <si>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</si>
  <si>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</si>
  <si>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</si>
  <si>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</si>
  <si>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</si>
  <si>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</si>
  <si>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</si>
  <si>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</si>
  <si>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</si>
  <si>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</si>
  <si>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</si>
  <si>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</si>
  <si>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</si>
  <si>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</si>
  <si>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</si>
  <si>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</si>
  <si>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</si>
  <si>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</si>
  <si>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</si>
  <si>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</si>
  <si>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</si>
  <si>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</si>
  <si>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</si>
  <si>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</si>
  <si>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</si>
  <si>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</si>
  <si>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</si>
  <si>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</si>
  <si>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</si>
  <si>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</si>
  <si>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</si>
  <si>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</si>
  <si>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</si>
  <si>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</si>
  <si>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</si>
  <si>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</si>
  <si>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</si>
  <si>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</si>
  <si>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</si>
  <si>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</si>
  <si>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</si>
  <si>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</si>
  <si>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</si>
  <si>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</si>
  <si>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</si>
  <si>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</si>
  <si>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</si>
  <si>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</si>
  <si>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</si>
  <si>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</si>
  <si>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</si>
  <si>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</si>
  <si>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</si>
  <si>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</si>
  <si>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</si>
  <si>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</si>
  <si>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</si>
  <si>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</si>
  <si>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</si>
  <si>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</si>
  <si>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</si>
  <si>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</si>
  <si>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</si>
  <si>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</si>
  <si>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</si>
  <si>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</si>
  <si>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</si>
  <si>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</si>
  <si>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</si>
  <si>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</si>
  <si>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</si>
  <si>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</si>
  <si>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</si>
  <si>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</si>
  <si>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</si>
  <si>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</si>
  <si>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</si>
  <si>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</si>
  <si>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</si>
  <si>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</si>
  <si>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</si>
  <si>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</si>
  <si>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</si>
  <si>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</si>
  <si>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</si>
  <si>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</si>
  <si>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</si>
  <si>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</si>
  <si>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</si>
  <si>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</si>
  <si>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</si>
  <si>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</si>
  <si>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</si>
  <si>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</si>
  <si>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</si>
  <si>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</si>
  <si>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</si>
  <si>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</si>
  <si>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</si>
  <si>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</si>
  <si>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</si>
  <si>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</si>
  <si>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</si>
  <si>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</si>
  <si>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</si>
  <si>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</si>
  <si>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</si>
  <si>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</si>
  <si>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</si>
  <si>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</si>
  <si>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</si>
  <si>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</si>
  <si>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</si>
  <si>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</si>
  <si>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</si>
  <si>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</si>
  <si>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</si>
  <si>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</si>
  <si>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</si>
  <si>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</si>
  <si>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</si>
  <si>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</si>
  <si>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</si>
  <si>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</si>
  <si>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</si>
  <si>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</si>
  <si>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</si>
  <si>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</si>
  <si>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</si>
  <si>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</si>
  <si>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</si>
  <si>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</si>
  <si>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</si>
  <si>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</si>
  <si>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</si>
  <si>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</si>
  <si>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</si>
  <si>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</si>
  <si>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</si>
  <si>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</si>
  <si>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</si>
  <si>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</si>
  <si>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</si>
  <si>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</si>
  <si>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</si>
  <si>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</si>
  <si>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</si>
  <si>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</si>
  <si>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</si>
  <si>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</si>
  <si>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</si>
  <si>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</si>
  <si>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</si>
  <si>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</si>
  <si>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</si>
  <si>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</si>
  <si>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</si>
  <si>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</si>
  <si>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</si>
  <si>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</si>
  <si>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</si>
  <si>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</si>
  <si>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</si>
  <si>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</si>
  <si>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</si>
  <si>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</si>
  <si>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</si>
  <si>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</si>
  <si>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</si>
  <si>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</si>
  <si>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</si>
  <si>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</si>
  <si>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</si>
  <si>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</si>
  <si>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</si>
  <si>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</si>
  <si>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</si>
  <si>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</si>
  <si>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</si>
  <si>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</si>
  <si>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</si>
  <si>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</si>
  <si>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</si>
  <si>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</si>
  <si>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</si>
  <si>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</si>
  <si>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</si>
  <si>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</si>
  <si>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</si>
  <si>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</si>
  <si>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</si>
  <si>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</si>
  <si>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</si>
  <si>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</si>
  <si>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</si>
  <si>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</si>
  <si>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</si>
  <si>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</si>
  <si>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</si>
  <si>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</si>
  <si>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</si>
  <si>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</si>
  <si>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</si>
  <si>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</si>
  <si>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</si>
  <si>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</si>
  <si>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</si>
  <si>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</si>
  <si>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</si>
  <si>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</si>
  <si>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</si>
  <si>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</si>
  <si>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</si>
  <si>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</si>
  <si>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</si>
  <si>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</si>
  <si>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</si>
  <si>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</si>
  <si>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</si>
  <si>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</si>
  <si>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</si>
  <si>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</si>
  <si>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</si>
  <si>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</si>
  <si>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</si>
  <si>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</si>
  <si>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</si>
  <si>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</si>
  <si>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</si>
  <si>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</si>
  <si>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</si>
  <si>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</si>
  <si>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</si>
  <si>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</si>
  <si>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</si>
  <si>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</si>
  <si>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</si>
  <si>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</si>
  <si>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</si>
  <si>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</si>
  <si>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</si>
  <si>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</si>
  <si>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</si>
  <si>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</si>
  <si>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</si>
  <si>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</si>
  <si>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</si>
  <si>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</si>
  <si>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</si>
  <si>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</si>
  <si>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</si>
  <si>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</si>
  <si>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</si>
  <si>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</si>
  <si>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</si>
  <si>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</si>
  <si>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</si>
  <si>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</si>
  <si>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</si>
  <si>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</si>
  <si>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</si>
  <si>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</si>
  <si>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</si>
  <si>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</si>
  <si>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</si>
  <si>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</si>
  <si>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</si>
  <si>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</si>
  <si>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</si>
  <si>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</si>
  <si>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</si>
  <si>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</si>
  <si>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</si>
  <si>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</si>
  <si>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</si>
  <si>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</si>
  <si>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</si>
  <si>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</si>
  <si>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</si>
  <si>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</si>
  <si>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</si>
  <si>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</si>
  <si>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</si>
  <si>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</si>
  <si>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</si>
  <si>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</si>
  <si>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</si>
  <si>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</si>
  <si>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</si>
  <si>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</si>
  <si>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</si>
  <si>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</si>
  <si>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</si>
  <si>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</si>
  <si>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</si>
  <si>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</si>
  <si>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</si>
  <si>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</si>
  <si>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</si>
  <si>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</si>
  <si>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</si>
  <si>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</si>
  <si>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</si>
  <si>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</si>
  <si>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</si>
  <si>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</si>
  <si>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</si>
  <si>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</si>
  <si>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</si>
  <si>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</si>
  <si>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</si>
  <si>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</si>
  <si>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</si>
  <si>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</si>
  <si>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</si>
  <si>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</si>
  <si>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</si>
  <si>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</si>
  <si>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</si>
  <si>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</si>
  <si>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</si>
  <si>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</si>
  <si>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</si>
  <si>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</si>
  <si>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</si>
  <si>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</si>
  <si>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</si>
  <si>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</si>
  <si>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</si>
  <si>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</si>
  <si>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</si>
  <si>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</si>
  <si>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</si>
  <si>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</si>
  <si>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</si>
  <si>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</si>
  <si>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</si>
  <si>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</si>
  <si>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</si>
  <si>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</si>
  <si>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</si>
  <si>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</si>
  <si>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</si>
  <si>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</si>
  <si>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</si>
  <si>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</si>
  <si>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</si>
  <si>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</si>
  <si>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</si>
  <si>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</si>
  <si>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</si>
  <si>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</si>
  <si>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</si>
  <si>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</si>
  <si>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</si>
  <si>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</si>
  <si>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</si>
  <si>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</si>
  <si>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</si>
  <si>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</si>
  <si>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</si>
  <si>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</si>
  <si>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</si>
  <si>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</si>
  <si>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</si>
  <si>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</si>
  <si>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</si>
  <si>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</si>
  <si>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</si>
  <si>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</si>
  <si>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</si>
  <si>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</si>
  <si>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</si>
  <si>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</si>
  <si>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</si>
  <si>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</si>
  <si>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</si>
  <si>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</si>
  <si>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</si>
  <si>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</si>
  <si>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</si>
  <si>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</si>
  <si>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</si>
  <si>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</si>
  <si>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</si>
  <si>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</si>
  <si>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</si>
  <si>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</si>
  <si>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</si>
  <si>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</si>
  <si>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</si>
  <si>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</si>
  <si>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</si>
  <si>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</si>
  <si>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</si>
  <si>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</si>
  <si>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</si>
  <si>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</si>
  <si>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</si>
  <si>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</si>
  <si>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</si>
  <si>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</si>
  <si>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</si>
  <si>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</si>
  <si>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</si>
  <si>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</si>
  <si>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</si>
  <si>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</si>
  <si>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</si>
  <si>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</si>
  <si>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</si>
  <si>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</si>
  <si>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</si>
  <si>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</si>
  <si>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</si>
  <si>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</si>
  <si>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</si>
  <si>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</si>
  <si>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</si>
  <si>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</si>
  <si>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</si>
  <si>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</si>
  <si>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</si>
  <si>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</si>
  <si>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</si>
  <si>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</si>
  <si>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</si>
  <si>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</si>
  <si>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</si>
  <si>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</si>
  <si>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</si>
  <si>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</si>
  <si>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</si>
  <si>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</si>
  <si>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</si>
  <si>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</si>
  <si>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</si>
  <si>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</si>
  <si>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</si>
  <si>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</si>
  <si>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</si>
  <si>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</si>
  <si>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</si>
  <si>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</si>
  <si>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</si>
  <si>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</si>
  <si>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</si>
  <si>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</si>
  <si>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</si>
  <si>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</si>
  <si>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</si>
  <si>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</si>
  <si>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</si>
  <si>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</si>
  <si>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</si>
  <si>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</si>
  <si>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</si>
  <si>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</si>
  <si>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</si>
  <si>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</si>
  <si>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</si>
  <si>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</si>
  <si>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</si>
  <si>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</si>
  <si>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</si>
  <si>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</si>
  <si>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</si>
  <si>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</si>
  <si>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</si>
  <si>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</si>
  <si>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</si>
  <si>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</si>
  <si>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</si>
  <si>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</si>
  <si>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</si>
  <si>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</si>
  <si>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</si>
  <si>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</si>
  <si>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</si>
  <si>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</si>
  <si>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</si>
  <si>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</si>
  <si>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</si>
  <si>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</si>
  <si>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</si>
  <si>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</si>
  <si>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</si>
  <si>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</si>
  <si>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</si>
  <si>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</si>
  <si>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</si>
  <si>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</si>
  <si>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</si>
  <si>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</si>
  <si>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</si>
  <si>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</si>
  <si>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</si>
  <si>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</si>
  <si>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</si>
  <si>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</si>
  <si>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</si>
  <si>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</si>
  <si>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</si>
  <si>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</si>
  <si>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</si>
  <si>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</si>
  <si>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</si>
  <si>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</si>
  <si>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</si>
  <si>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</si>
  <si>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</si>
  <si>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</si>
  <si>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</si>
  <si>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</si>
  <si>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</si>
  <si>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</si>
  <si>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</si>
  <si>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</si>
  <si>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</si>
  <si>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</si>
  <si>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</si>
  <si>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</si>
  <si>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</si>
  <si>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</si>
  <si>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</si>
  <si>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</si>
  <si>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</si>
  <si>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</si>
  <si>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</si>
  <si>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</si>
  <si>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</si>
  <si>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</si>
  <si>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</si>
  <si>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</si>
  <si>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</si>
  <si>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</si>
  <si>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</si>
  <si>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</si>
  <si>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</si>
  <si>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</si>
  <si>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</si>
  <si>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</si>
  <si>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</si>
  <si>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</si>
  <si>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</si>
  <si>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</si>
  <si>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</si>
  <si>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</si>
  <si>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</si>
  <si>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</si>
  <si>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</si>
  <si>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</si>
  <si>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</si>
  <si>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</si>
  <si>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</si>
  <si>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</si>
  <si>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</si>
  <si>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</si>
  <si>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</si>
  <si>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</si>
  <si>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</si>
  <si>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</si>
  <si>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</si>
  <si>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</si>
  <si>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</si>
  <si>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</si>
  <si>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</si>
  <si>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</si>
  <si>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</si>
  <si>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</si>
  <si>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</si>
  <si>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</si>
  <si>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</si>
  <si>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</si>
  <si>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</si>
  <si>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</si>
  <si>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</si>
  <si>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</si>
  <si>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</si>
  <si>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</si>
  <si>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</si>
  <si>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</si>
  <si>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</si>
  <si>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</si>
  <si>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</si>
  <si>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</si>
  <si>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</si>
  <si>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</si>
  <si>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</si>
  <si>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</si>
  <si>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</si>
  <si>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</si>
  <si>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</si>
  <si>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</si>
  <si>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</si>
  <si>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</si>
  <si>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</si>
  <si>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</si>
  <si>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</si>
  <si>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</si>
  <si>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</si>
  <si>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</si>
  <si>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</si>
  <si>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</si>
  <si>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</si>
  <si>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</si>
  <si>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</si>
  <si>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</si>
  <si>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</si>
  <si>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</si>
  <si>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</si>
  <si>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</si>
  <si>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</si>
  <si>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</si>
  <si>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</si>
  <si>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</si>
  <si>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</si>
  <si>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</si>
  <si>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</si>
  <si>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</si>
  <si>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</si>
  <si>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</si>
  <si>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</si>
  <si>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</si>
  <si>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</si>
  <si>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</si>
  <si>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</si>
  <si>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</si>
  <si>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</si>
  <si>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</si>
  <si>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</si>
  <si>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</si>
  <si>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</si>
  <si>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</si>
  <si>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</si>
  <si>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</si>
  <si>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</si>
  <si>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</si>
  <si>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</si>
  <si>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</si>
  <si>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</si>
  <si>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</si>
  <si>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</si>
  <si>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</si>
  <si>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</si>
  <si>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</si>
  <si>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</si>
  <si>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</si>
  <si>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</si>
  <si>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</si>
  <si>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</si>
  <si>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</si>
  <si>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</si>
  <si>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</si>
  <si>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</si>
  <si>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</si>
  <si>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</si>
  <si>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</si>
  <si>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</si>
  <si>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</si>
  <si>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</si>
  <si>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</si>
  <si>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</si>
  <si>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</si>
  <si>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</si>
  <si>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</si>
  <si>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</si>
  <si>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</si>
  <si>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</si>
  <si>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</si>
  <si>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</si>
  <si>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</si>
  <si>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</si>
  <si>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</si>
  <si>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</si>
  <si>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</si>
  <si>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</si>
  <si>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</si>
  <si>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</si>
  <si>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</si>
  <si>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</si>
  <si>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</si>
  <si>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</si>
  <si>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</si>
  <si>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</si>
  <si>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</si>
  <si>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</si>
  <si>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</si>
  <si>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</si>
  <si>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</si>
  <si>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</si>
  <si>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</si>
  <si>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</si>
  <si>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</si>
  <si>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</si>
  <si>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</si>
  <si>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</si>
  <si>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</si>
  <si>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</si>
  <si>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</si>
  <si>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</si>
  <si>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</si>
  <si>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</si>
  <si>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</si>
  <si>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</si>
  <si>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</si>
  <si>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</si>
  <si>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</si>
  <si>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</si>
  <si>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</si>
  <si>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</si>
  <si>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</si>
  <si>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</si>
  <si>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</si>
  <si>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</si>
  <si>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</si>
  <si>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</si>
  <si>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</si>
  <si>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</si>
  <si>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</si>
  <si>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</si>
  <si>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</si>
  <si>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</si>
  <si>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</si>
  <si>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</si>
  <si>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</si>
  <si>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</si>
  <si>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</si>
  <si>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</si>
  <si>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</si>
  <si>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</si>
  <si>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</si>
  <si>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</si>
  <si>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</si>
  <si>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</si>
  <si>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</si>
  <si>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</si>
  <si>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</si>
  <si>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</si>
  <si>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</si>
  <si>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</si>
  <si>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</si>
  <si>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</si>
  <si>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</si>
  <si>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</si>
  <si>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</si>
  <si>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</si>
  <si>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</si>
  <si>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</si>
  <si>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</si>
  <si>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</si>
  <si>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</si>
  <si>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</si>
  <si>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</si>
  <si>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</si>
  <si>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</si>
  <si>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</si>
  <si>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</si>
  <si>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</si>
  <si>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</si>
  <si>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</si>
  <si>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</si>
  <si>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</si>
  <si>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</si>
  <si>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</si>
  <si>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</si>
  <si>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</si>
  <si>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</si>
  <si>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</si>
  <si>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</si>
  <si>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</si>
  <si>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</si>
  <si>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</si>
  <si>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</si>
  <si>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</si>
  <si>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</si>
  <si>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</si>
  <si>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</si>
  <si>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</si>
  <si>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</si>
  <si>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</si>
  <si>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</si>
  <si>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</si>
  <si>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</si>
  <si>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</si>
  <si>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</si>
  <si>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</si>
  <si>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</si>
  <si>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</si>
  <si>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</si>
  <si>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</si>
  <si>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</si>
  <si>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</si>
  <si>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</si>
  <si>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</si>
  <si>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</si>
  <si>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</si>
  <si>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</si>
  <si>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</si>
  <si>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</si>
  <si>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</si>
  <si>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</si>
  <si>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</si>
  <si>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</si>
  <si>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</si>
  <si>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</si>
  <si>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</si>
  <si>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</si>
  <si>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</si>
  <si>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</si>
  <si>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</si>
  <si>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</si>
  <si>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</si>
  <si>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</si>
  <si>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</si>
  <si>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</si>
  <si>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</si>
  <si>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</si>
  <si>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</si>
  <si>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</si>
  <si>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</si>
  <si>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</si>
  <si>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</si>
  <si>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</si>
  <si>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</si>
  <si>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</si>
  <si>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</si>
  <si>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</si>
  <si>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</si>
  <si>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</si>
  <si>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</si>
  <si>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</si>
  <si>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</si>
  <si>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</si>
  <si>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</si>
  <si>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</si>
  <si>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</si>
  <si>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</si>
  <si>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</si>
  <si>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</si>
  <si>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</si>
  <si>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</si>
  <si>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</si>
  <si>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</si>
  <si>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</si>
  <si>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</si>
  <si>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</si>
  <si>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</si>
  <si>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</si>
  <si>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</si>
  <si>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</si>
  <si>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</si>
  <si>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</si>
  <si>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</si>
  <si>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</si>
  <si>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</si>
  <si>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</si>
  <si>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</si>
  <si>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</si>
  <si>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</si>
  <si>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10 year PE average is 17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</si>
  <si>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</si>
  <si>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</si>
  <si>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</si>
  <si>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</si>
  <si>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</si>
  <si>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</si>
  <si>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</si>
  <si>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</si>
  <si>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</si>
  <si>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</si>
  <si>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er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</si>
  <si>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</si>
  <si>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</si>
  <si>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</si>
  <si>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</si>
  <si>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</si>
  <si>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</si>
  <si>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</si>
  <si>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</si>
  <si>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</si>
  <si>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</si>
  <si>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</si>
  <si>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</si>
  <si>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</si>
  <si>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</si>
  <si>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</si>
  <si>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</si>
  <si>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</si>
  <si>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</si>
  <si>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</si>
  <si>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</si>
  <si>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</si>
  <si>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</si>
  <si>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</si>
  <si>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</si>
  <si>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</si>
  <si>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</si>
  <si>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</si>
  <si>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</si>
  <si>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</si>
  <si>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</si>
  <si>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</si>
  <si>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</si>
  <si>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</si>
  <si>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</si>
  <si>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</si>
  <si>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</si>
  <si>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</si>
  <si>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</si>
  <si>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</si>
  <si>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</si>
  <si>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</si>
  <si>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</si>
  <si>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</si>
  <si>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</si>
  <si>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</si>
  <si>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</si>
  <si>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</si>
  <si>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</si>
  <si>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</si>
  <si>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</si>
  <si>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</si>
  <si>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</si>
  <si>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</si>
  <si>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</si>
  <si>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</si>
  <si>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</si>
  <si>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</si>
  <si>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</si>
  <si>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</si>
  <si>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</si>
  <si>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</si>
  <si>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</si>
  <si>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</si>
  <si>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</si>
  <si>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</si>
  <si>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</si>
  <si>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</si>
  <si>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</si>
  <si>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</si>
  <si>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</si>
  <si>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</si>
  <si>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</si>
  <si>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</si>
  <si>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</si>
  <si>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</si>
  <si>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</si>
  <si>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</si>
  <si>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</si>
  <si>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IRR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</si>
  <si>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</si>
  <si>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</si>
  <si>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</si>
  <si>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</si>
  <si>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</si>
  <si>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</si>
  <si>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</si>
  <si>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</si>
  <si>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</si>
  <si>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</si>
  <si>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8/1/2018 AH</t>
  </si>
  <si>
    <t>7/13/2018 PM</t>
  </si>
  <si>
    <t>up 3%</t>
  </si>
  <si>
    <t>6/27/2018 PM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</si>
  <si>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</si>
  <si>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</si>
  <si>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</si>
  <si>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</si>
  <si>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</si>
  <si>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</si>
  <si>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7/3/2018 PM</t>
  </si>
  <si>
    <t>SI 8.5days</t>
  </si>
  <si>
    <t>Looks attractive from hsitorical PE. 10 Year average PE is 24</t>
  </si>
  <si>
    <t>new 32.00</t>
  </si>
  <si>
    <t>800 @    20.19</t>
  </si>
  <si>
    <t>18.50-&gt;18.00</t>
  </si>
  <si>
    <t>7/26/2018 PM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</si>
  <si>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</si>
  <si>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</si>
  <si>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</si>
  <si>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</si>
  <si>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</si>
  <si>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</si>
  <si>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</si>
  <si>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</si>
  <si>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</si>
  <si>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</si>
  <si>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</si>
  <si>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</si>
  <si>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</si>
  <si>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</si>
  <si>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</si>
  <si>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</si>
  <si>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</si>
  <si>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8/30/2018 est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</si>
  <si>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</si>
  <si>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</si>
  <si>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</si>
  <si>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</si>
  <si>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</si>
  <si>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</si>
  <si>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</si>
  <si>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</si>
  <si>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</si>
  <si>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9/28/2018 est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</si>
  <si>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</si>
  <si>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</si>
  <si>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</si>
  <si>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</si>
  <si>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</si>
  <si>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</si>
  <si>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7/17/2018 PM</t>
  </si>
  <si>
    <t>Currt P/L</t>
  </si>
  <si>
    <t>TotalValue</t>
  </si>
  <si>
    <t>Crrnt %P/L</t>
  </si>
  <si>
    <t>7/12/2018 PM</t>
  </si>
  <si>
    <t>36.00-&gt;35.00</t>
  </si>
  <si>
    <t>luv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</si>
  <si>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</si>
  <si>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</si>
  <si>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</si>
  <si>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</si>
  <si>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</si>
  <si>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UAL ER PM</t>
  </si>
  <si>
    <t>LUV ER PM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</si>
  <si>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</si>
  <si>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</si>
  <si>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</si>
  <si>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</si>
  <si>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</si>
  <si>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</si>
  <si>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</si>
  <si>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</si>
  <si>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</si>
  <si>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</si>
  <si>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</si>
  <si>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</si>
  <si>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</si>
  <si>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SBH ER est</t>
  </si>
  <si>
    <t>HSIC ER est</t>
  </si>
  <si>
    <t>Macy to open more bluemercury stores</t>
  </si>
  <si>
    <t>Investor day</t>
  </si>
  <si>
    <t>CEO Jeff harmening</t>
  </si>
  <si>
    <t>10yr avg PE 18</t>
  </si>
  <si>
    <t>insider sold at 129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</si>
</sst>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73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737"/>
      <tableStyleElement type="headerRow" dxfId="2736"/>
    </tableStyle>
  </tableStyles>
  <colors>
    <mruColors>
      <color rgb="FFFF7C5D"/>
      <color rgb="FFE7271D"/>
      <color rgb="FFFBDBD9"/>
      <color rgb="FFF9DEDB"/>
      <color rgb="FFED5C55"/>
      <color rgb="FFFF3300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connections" Target="connection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Balance!$B$2:$B$850</c:f>
              <c:numCache>
                <c:formatCode>m/d/yyyy</c:formatCode>
                <c:ptCount val="84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43288</c:v>
                </c:pt>
              </c:numCache>
            </c:numRef>
          </c:xVal>
          <c:yVal>
            <c:numRef>
              <c:f>Balance!$I$2:$I$852</c:f>
              <c:numCache>
                <c:formatCode>0.00</c:formatCode>
                <c:ptCount val="851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786712"/>
        <c:axId val="154785928"/>
      </c:scatterChart>
      <c:valAx>
        <c:axId val="154786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785928"/>
        <c:crosses val="autoZero"/>
        <c:crossBetween val="midCat"/>
      </c:valAx>
      <c:valAx>
        <c:axId val="154785928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786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Balance!$B$2:$B$741</c:f>
              <c:numCache>
                <c:formatCode>m/d/yyyy</c:formatCode>
                <c:ptCount val="7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43288</c:v>
                </c:pt>
              </c:numCache>
            </c:numRef>
          </c:xVal>
          <c:yVal>
            <c:numRef>
              <c:f>Balance!$M$2:$M$741</c:f>
              <c:numCache>
                <c:formatCode>0.00</c:formatCode>
                <c:ptCount val="740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1066176"/>
        <c:axId val="501068136"/>
      </c:scatterChart>
      <c:valAx>
        <c:axId val="501066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68136"/>
        <c:crosses val="autoZero"/>
        <c:crossBetween val="midCat"/>
      </c:valAx>
      <c:valAx>
        <c:axId val="501068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6617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Balance!$B$2:$B$991</c:f>
              <c:numCache>
                <c:formatCode>m/d/yyyy</c:formatCode>
                <c:ptCount val="9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43288</c:v>
                </c:pt>
              </c:numCache>
            </c:numRef>
          </c:xVal>
          <c:yVal>
            <c:numRef>
              <c:f>Balance!$C$2:$C$993</c:f>
              <c:numCache>
                <c:formatCode>0.00</c:formatCode>
                <c:ptCount val="99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1065784"/>
        <c:axId val="501065392"/>
      </c:scatterChart>
      <c:valAx>
        <c:axId val="501065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65392"/>
        <c:crosses val="autoZero"/>
        <c:crossBetween val="midCat"/>
      </c:valAx>
      <c:valAx>
        <c:axId val="50106539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65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Balance!$B$2:$B$741</c:f>
              <c:numCache>
                <c:formatCode>m/d/yyyy</c:formatCode>
                <c:ptCount val="7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43288</c:v>
                </c:pt>
              </c:numCache>
            </c:numRef>
          </c:xVal>
          <c:yVal>
            <c:numRef>
              <c:f>Balance!$Q$2:$Q$744</c:f>
              <c:numCache>
                <c:formatCode>0.00%</c:formatCode>
                <c:ptCount val="7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1063040"/>
        <c:axId val="501066568"/>
      </c:scatterChart>
      <c:valAx>
        <c:axId val="501063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66568"/>
        <c:crosses val="autoZero"/>
        <c:crossBetween val="midCat"/>
      </c:valAx>
      <c:valAx>
        <c:axId val="501066568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63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Balance!$B$2:$B$788</c:f>
              <c:numCache>
                <c:formatCode>m/d/yyyy</c:formatCode>
                <c:ptCount val="7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43288</c:v>
                </c:pt>
              </c:numCache>
            </c:numRef>
          </c:xVal>
          <c:yVal>
            <c:numRef>
              <c:f>Balance!$W$2:$W$795</c:f>
              <c:numCache>
                <c:formatCode>0.00%</c:formatCode>
                <c:ptCount val="794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1064216"/>
        <c:axId val="501067744"/>
      </c:scatterChart>
      <c:valAx>
        <c:axId val="501064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67744"/>
        <c:crosses val="autoZero"/>
        <c:crossBetween val="midCat"/>
      </c:valAx>
      <c:valAx>
        <c:axId val="501067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64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Balance!$B$2:$B$741</c:f>
              <c:numCache>
                <c:formatCode>m/d/yyyy</c:formatCode>
                <c:ptCount val="7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43288</c:v>
                </c:pt>
              </c:numCache>
            </c:numRef>
          </c:xVal>
          <c:yVal>
            <c:numRef>
              <c:f>Balance!$Y$2:$Y$745</c:f>
              <c:numCache>
                <c:formatCode>0.00</c:formatCode>
                <c:ptCount val="744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0.41271480547650791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1061864"/>
        <c:axId val="501064608"/>
      </c:scatterChart>
      <c:valAx>
        <c:axId val="501061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64608"/>
        <c:crosses val="autoZero"/>
        <c:crossBetween val="midCat"/>
      </c:valAx>
      <c:valAx>
        <c:axId val="501064608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61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43288</c:v>
                </c:pt>
              </c:numCache>
            </c:numRef>
          </c:xVal>
          <c:yVal>
            <c:numRef>
              <c:f>Balance!$S$2:$S$795</c:f>
              <c:numCache>
                <c:formatCode>0.00%</c:formatCode>
                <c:ptCount val="794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1894496"/>
        <c:axId val="501893320"/>
      </c:scatterChart>
      <c:valAx>
        <c:axId val="501894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893320"/>
        <c:crosses val="autoZero"/>
        <c:crossBetween val="midCat"/>
      </c:valAx>
      <c:valAx>
        <c:axId val="501893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89449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43288</c:v>
                </c:pt>
              </c:numCache>
            </c:numRef>
          </c:xVal>
          <c:yVal>
            <c:numRef>
              <c:f>Balance!$Z$3:$Z$696</c:f>
              <c:numCache>
                <c:formatCode>0.00</c:formatCode>
                <c:ptCount val="694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1890576"/>
        <c:axId val="501896064"/>
      </c:scatterChart>
      <c:valAx>
        <c:axId val="501890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896064"/>
        <c:crosses val="autoZero"/>
        <c:crossBetween val="midCat"/>
      </c:valAx>
      <c:valAx>
        <c:axId val="50189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89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891360"/>
        <c:axId val="501896456"/>
      </c:lineChart>
      <c:dateAx>
        <c:axId val="501891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896456"/>
        <c:crosses val="autoZero"/>
        <c:auto val="1"/>
        <c:lblOffset val="100"/>
        <c:baseTimeUnit val="days"/>
      </c:dateAx>
      <c:valAx>
        <c:axId val="50189645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891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068920"/>
        <c:axId val="501063432"/>
      </c:lineChart>
      <c:dateAx>
        <c:axId val="501068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63432"/>
        <c:crosses val="autoZero"/>
        <c:auto val="1"/>
        <c:lblOffset val="100"/>
        <c:baseTimeUnit val="days"/>
      </c:dateAx>
      <c:valAx>
        <c:axId val="501063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68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067424"/>
        <c:axId val="504069384"/>
      </c:lineChart>
      <c:dateAx>
        <c:axId val="504067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69384"/>
        <c:crosses val="autoZero"/>
        <c:auto val="1"/>
        <c:lblOffset val="100"/>
        <c:baseTimeUnit val="days"/>
      </c:dateAx>
      <c:valAx>
        <c:axId val="5040693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67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067032"/>
        <c:axId val="504067816"/>
      </c:lineChart>
      <c:dateAx>
        <c:axId val="504067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67816"/>
        <c:crosses val="autoZero"/>
        <c:auto val="1"/>
        <c:lblOffset val="100"/>
        <c:baseTimeUnit val="days"/>
      </c:dateAx>
      <c:valAx>
        <c:axId val="50406781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67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KR!$B$63:$B$168</c:f>
              <c:strCache>
                <c:ptCount val="94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</c:strCache>
            </c:strRef>
          </c:cat>
          <c:val>
            <c:numRef>
              <c:f>KR!$E$64:$E$168</c:f>
              <c:numCache>
                <c:formatCode>0.00</c:formatCode>
                <c:ptCount val="105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KR!$B$63:$B$168</c:f>
              <c:strCache>
                <c:ptCount val="94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</c:strCache>
            </c:strRef>
          </c:cat>
          <c:val>
            <c:numRef>
              <c:f>KR!$D$64:$D$168</c:f>
              <c:numCache>
                <c:formatCode>0.00</c:formatCode>
                <c:ptCount val="105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6461264"/>
        <c:axId val="506463224"/>
      </c:lineChart>
      <c:catAx>
        <c:axId val="506461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463224"/>
        <c:crosses val="autoZero"/>
        <c:auto val="1"/>
        <c:lblAlgn val="ctr"/>
        <c:lblOffset val="100"/>
        <c:noMultiLvlLbl val="0"/>
      </c:catAx>
      <c:valAx>
        <c:axId val="506463224"/>
        <c:scaling>
          <c:orientation val="minMax"/>
          <c:max val="36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46126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458912"/>
        <c:axId val="506464008"/>
      </c:lineChart>
      <c:dateAx>
        <c:axId val="5064589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464008"/>
        <c:crosses val="autoZero"/>
        <c:auto val="1"/>
        <c:lblOffset val="100"/>
        <c:baseTimeUnit val="days"/>
      </c:dateAx>
      <c:valAx>
        <c:axId val="506464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458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467968"/>
        <c:axId val="530468360"/>
      </c:lineChart>
      <c:dateAx>
        <c:axId val="530467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468360"/>
        <c:crosses val="autoZero"/>
        <c:auto val="1"/>
        <c:lblOffset val="100"/>
        <c:baseTimeUnit val="days"/>
      </c:dateAx>
      <c:valAx>
        <c:axId val="53046836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467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WBA!$B$25:$B$82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</c:numCache>
            </c:numRef>
          </c:cat>
          <c:val>
            <c:numRef>
              <c:f>WBA!$E$25:$E$82</c:f>
              <c:numCache>
                <c:formatCode>0.00</c:formatCode>
                <c:ptCount val="58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WBA!$B$25:$B$82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</c:numCache>
            </c:numRef>
          </c:cat>
          <c:val>
            <c:numRef>
              <c:f>WBA!$D$25:$D$82</c:f>
              <c:numCache>
                <c:formatCode>0.00</c:formatCode>
                <c:ptCount val="58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471104"/>
        <c:axId val="530472280"/>
      </c:lineChart>
      <c:dateAx>
        <c:axId val="5304711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472280"/>
        <c:crosses val="autoZero"/>
        <c:auto val="1"/>
        <c:lblOffset val="100"/>
        <c:baseTimeUnit val="days"/>
      </c:dateAx>
      <c:valAx>
        <c:axId val="53047228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471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469928"/>
        <c:axId val="530471496"/>
      </c:lineChart>
      <c:dateAx>
        <c:axId val="5304699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471496"/>
        <c:crosses val="autoZero"/>
        <c:auto val="1"/>
        <c:lblOffset val="100"/>
        <c:baseTimeUnit val="days"/>
      </c:dateAx>
      <c:valAx>
        <c:axId val="530471496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469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096024"/>
        <c:axId val="532095632"/>
      </c:lineChart>
      <c:catAx>
        <c:axId val="532096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095632"/>
        <c:crosses val="autoZero"/>
        <c:auto val="1"/>
        <c:lblAlgn val="ctr"/>
        <c:lblOffset val="100"/>
        <c:noMultiLvlLbl val="0"/>
      </c:catAx>
      <c:valAx>
        <c:axId val="5320956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09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PDCO!$B$31:$B$69</c:f>
              <c:numCache>
                <c:formatCode>d\-mmm</c:formatCode>
                <c:ptCount val="3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</c:numCache>
            </c:numRef>
          </c:xVal>
          <c:yVal>
            <c:numRef>
              <c:f>PDCO!$E$31:$E$69</c:f>
              <c:numCache>
                <c:formatCode>0.00</c:formatCode>
                <c:ptCount val="3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PDCO!$B$31:$B$69</c:f>
              <c:numCache>
                <c:formatCode>d\-mmm</c:formatCode>
                <c:ptCount val="3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</c:numCache>
            </c:numRef>
          </c:xVal>
          <c:yVal>
            <c:numRef>
              <c:f>PDCO!$D$31:$D$69</c:f>
              <c:numCache>
                <c:formatCode>0.00</c:formatCode>
                <c:ptCount val="3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094848"/>
        <c:axId val="532097592"/>
      </c:scatterChart>
      <c:valAx>
        <c:axId val="532094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097592"/>
        <c:crosses val="autoZero"/>
        <c:crossBetween val="midCat"/>
      </c:valAx>
      <c:valAx>
        <c:axId val="53209759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0948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090928"/>
        <c:axId val="532092496"/>
      </c:lineChart>
      <c:catAx>
        <c:axId val="5320909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092496"/>
        <c:crosses val="autoZero"/>
        <c:auto val="1"/>
        <c:lblAlgn val="ctr"/>
        <c:lblOffset val="100"/>
        <c:noMultiLvlLbl val="0"/>
      </c:catAx>
      <c:valAx>
        <c:axId val="53209249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09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097200"/>
        <c:axId val="543071664"/>
      </c:lineChart>
      <c:dateAx>
        <c:axId val="532097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071664"/>
        <c:crosses val="autoZero"/>
        <c:auto val="1"/>
        <c:lblOffset val="100"/>
        <c:baseTimeUnit val="days"/>
      </c:dateAx>
      <c:valAx>
        <c:axId val="5430716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09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073232"/>
        <c:axId val="543073624"/>
      </c:lineChart>
      <c:dateAx>
        <c:axId val="543073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073624"/>
        <c:crosses val="autoZero"/>
        <c:auto val="1"/>
        <c:lblOffset val="100"/>
        <c:baseTimeUnit val="days"/>
      </c:dateAx>
      <c:valAx>
        <c:axId val="54307362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073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074016"/>
        <c:axId val="543074408"/>
      </c:lineChart>
      <c:dateAx>
        <c:axId val="543074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074408"/>
        <c:crosses val="autoZero"/>
        <c:auto val="1"/>
        <c:lblOffset val="100"/>
        <c:baseTimeUnit val="days"/>
      </c:dateAx>
      <c:valAx>
        <c:axId val="54307440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074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NWL!$C$26</c:f>
              <c:strCache>
                <c:ptCount val="1"/>
                <c:pt idx="0">
                  <c:v>shares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NWL!$B$27:$B$75</c:f>
              <c:numCache>
                <c:formatCode>d\-mmm</c:formatCode>
                <c:ptCount val="4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</c:numCache>
            </c:numRef>
          </c:cat>
          <c:val>
            <c:numRef>
              <c:f>NWL!$E$27:$E$75</c:f>
              <c:numCache>
                <c:formatCode>0.00</c:formatCode>
                <c:ptCount val="49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NWL!$D$26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NWL!$B$27:$B$75</c:f>
              <c:numCache>
                <c:formatCode>d\-mmm</c:formatCode>
                <c:ptCount val="4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</c:numCache>
            </c:numRef>
          </c:cat>
          <c:val>
            <c:numRef>
              <c:f>NWL!$D$27:$D$75</c:f>
              <c:numCache>
                <c:formatCode>0.00</c:formatCode>
                <c:ptCount val="49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4466512"/>
        <c:axId val="594472784"/>
      </c:lineChart>
      <c:dateAx>
        <c:axId val="5944665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472784"/>
        <c:crosses val="autoZero"/>
        <c:auto val="1"/>
        <c:lblOffset val="100"/>
        <c:baseTimeUnit val="days"/>
      </c:dateAx>
      <c:valAx>
        <c:axId val="594472784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466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466120"/>
        <c:axId val="594470824"/>
      </c:lineChart>
      <c:dateAx>
        <c:axId val="5944661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470824"/>
        <c:crosses val="autoZero"/>
        <c:auto val="1"/>
        <c:lblOffset val="100"/>
        <c:baseTimeUnit val="days"/>
      </c:dateAx>
      <c:valAx>
        <c:axId val="59447082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466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467296"/>
        <c:axId val="594472000"/>
      </c:lineChart>
      <c:catAx>
        <c:axId val="594467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472000"/>
        <c:crosses val="autoZero"/>
        <c:auto val="1"/>
        <c:lblAlgn val="ctr"/>
        <c:lblOffset val="100"/>
        <c:noMultiLvlLbl val="0"/>
      </c:catAx>
      <c:valAx>
        <c:axId val="5944720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467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7789856"/>
        <c:axId val="557796128"/>
      </c:lineChart>
      <c:catAx>
        <c:axId val="557789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796128"/>
        <c:crosses val="autoZero"/>
        <c:auto val="1"/>
        <c:lblAlgn val="ctr"/>
        <c:lblOffset val="100"/>
        <c:noMultiLvlLbl val="0"/>
      </c:catAx>
      <c:valAx>
        <c:axId val="55779612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789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7792600"/>
        <c:axId val="557791032"/>
      </c:lineChart>
      <c:dateAx>
        <c:axId val="557792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791032"/>
        <c:crosses val="autoZero"/>
        <c:auto val="1"/>
        <c:lblOffset val="100"/>
        <c:baseTimeUnit val="days"/>
      </c:dateAx>
      <c:valAx>
        <c:axId val="55779103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79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7788680"/>
        <c:axId val="557792208"/>
      </c:lineChart>
      <c:dateAx>
        <c:axId val="557788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792208"/>
        <c:crosses val="autoZero"/>
        <c:auto val="1"/>
        <c:lblOffset val="100"/>
        <c:baseTimeUnit val="days"/>
      </c:dateAx>
      <c:valAx>
        <c:axId val="55779220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788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7794560"/>
        <c:axId val="557789464"/>
      </c:lineChart>
      <c:catAx>
        <c:axId val="557794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789464"/>
        <c:crosses val="autoZero"/>
        <c:auto val="1"/>
        <c:lblAlgn val="ctr"/>
        <c:lblOffset val="100"/>
        <c:noMultiLvlLbl val="0"/>
      </c:catAx>
      <c:valAx>
        <c:axId val="55778946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794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967944"/>
        <c:axId val="598977352"/>
      </c:lineChart>
      <c:dateAx>
        <c:axId val="5989679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977352"/>
        <c:crosses val="autoZero"/>
        <c:auto val="1"/>
        <c:lblOffset val="100"/>
        <c:baseTimeUnit val="days"/>
      </c:dateAx>
      <c:valAx>
        <c:axId val="59897735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967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gif"/><Relationship Id="rId3" Type="http://schemas.openxmlformats.org/officeDocument/2006/relationships/image" Target="../media/image9.gif"/><Relationship Id="rId7" Type="http://schemas.openxmlformats.org/officeDocument/2006/relationships/image" Target="../media/image13.gif"/><Relationship Id="rId2" Type="http://schemas.openxmlformats.org/officeDocument/2006/relationships/image" Target="../media/image8.gif"/><Relationship Id="rId1" Type="http://schemas.openxmlformats.org/officeDocument/2006/relationships/image" Target="../media/image5.gif"/><Relationship Id="rId6" Type="http://schemas.openxmlformats.org/officeDocument/2006/relationships/image" Target="../media/image12.gif"/><Relationship Id="rId5" Type="http://schemas.openxmlformats.org/officeDocument/2006/relationships/image" Target="../media/image11.gif"/><Relationship Id="rId4" Type="http://schemas.openxmlformats.org/officeDocument/2006/relationships/image" Target="../media/image10.gif"/><Relationship Id="rId9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2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9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304799</xdr:colOff>
      <xdr:row>60</xdr:row>
      <xdr:rowOff>33337</xdr:rowOff>
    </xdr:from>
    <xdr:to>
      <xdr:col>18</xdr:col>
      <xdr:colOff>723900</xdr:colOff>
      <xdr:row>80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128587</xdr:colOff>
      <xdr:row>44</xdr:row>
      <xdr:rowOff>161924</xdr:rowOff>
    </xdr:from>
    <xdr:to>
      <xdr:col>18</xdr:col>
      <xdr:colOff>1438275</xdr:colOff>
      <xdr:row>64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542925</xdr:colOff>
      <xdr:row>40</xdr:row>
      <xdr:rowOff>47625</xdr:rowOff>
    </xdr:from>
    <xdr:to>
      <xdr:col>19</xdr:col>
      <xdr:colOff>1123951</xdr:colOff>
      <xdr:row>65</xdr:row>
      <xdr:rowOff>76199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AAPL" backgroundRefresh="0" connectionId="5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6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65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foxa" backgroundRefresh="0" adjustColumnWidth="0" connectionId="6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foxa" backgroundRefresh="0" connectionId="6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KAM+Historical+Prices" backgroundRefresh="0" adjustColumnWidth="0" connectionId="5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KAM" backgroundRefresh="0" connectionId="6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vs" backgroundRefresh="0" connectionId="7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F" backgroundRefresh="0" adjustColumnWidth="0" connectionId="5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JNJ" backgroundRefresh="0" connectionId="6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PN" backgroundRefresh="0" connectionId="2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PN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vgk" backgroundRefresh="0" connectionId="5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vgk" backgroundRefresh="0" connectionId="5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IP" backgroundRefresh="0" adjustColumnWidth="0" connectionId="4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IP" backgroundRefresh="0" connectionId="4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HES" backgroundRefresh="0" adjustColumnWidt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HES" backgroundRefresh="0" connectionId="5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nclh" backgroundRefresh="0" adjustColumnWidth="0" connectionId="6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nclh" backgroundRefresh="0" connectionId="6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SWKS" backgroundRefresh="0" adjustColumnWidth="0" connectionId="4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SWKS" backgroundRefresh="0" connectionId="4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NI" backgroundRefresh="0" adjustColumnWidth="0" connectionId="4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CNI" backgroundRefresh="0" adjustColumnWidth="0" connectionId="4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CF" backgroundRefresh="0" connectionId="3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KORS" backgroundRefresh="0" adjustColumnWidth="0" connectionId="2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KORS" backgroundRefresh="0" adjustColumnWidth="0" connectionId="2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LL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ual" backgroundRefresh="0" adjustColumnWidth="0" connectionId="1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UAL" connectionId="1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CAH" backgroundRefresh="0" adjustColumnWidth="0" connectionId="2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CAH" backgroundRefresh="0" connectionId="3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FTR" backgroundRefresh="0" adjustColumnWidth="0" connectionId="4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WWD" backgroundRefresh="0" adjustColumnWidth="0" connectionId="37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GM" backgroundRefresh="0" adjustColumnWidth="0" connectionId="2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GM" backgroundRefresh="0" connectionId="2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tmo" backgroundRefresh="0" adjustColumnWidth="0" connectionId="4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tmo" backgroundRefresh="0" adjustColumnWidth="0" connectionId="4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TKR" backgroundRefresh="0" adjustColumnWidth="0" connectionId="1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TX" backgroundRefresh="0" adjustColumnWidth="0" connectionId="35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UNH" backgroundRefresh="0" adjustColumnWidth="0" connectionId="3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UNH" backgroundRefresh="0" adjustColumnWidth="0" connectionId="33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484" dataDxfId="483">
  <autoFilter ref="O15:W26"/>
  <tableColumns count="9">
    <tableColumn id="1" name="Date" dataDxfId="482"/>
    <tableColumn id="2" name="Quarter" dataDxfId="481"/>
    <tableColumn id="3" name="Time" dataDxfId="480"/>
    <tableColumn id="4" name="EPS estimate" dataDxfId="479"/>
    <tableColumn id="5" name="EPS Actual" dataDxfId="478"/>
    <tableColumn id="6" name="Sales Estiamte (B)" dataDxfId="477"/>
    <tableColumn id="7" name="Sales Actual (B)" dataDxfId="476"/>
    <tableColumn id="8" name="Guidance" dataDxfId="475"/>
    <tableColumn id="9" name="Reaction" dataDxfId="47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queryTable" Target="../queryTables/queryTable12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5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6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23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http://www.wsj.com/mdc/public/page/2_3021-peyield.html" TargetMode="Externa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25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http://www.nasdaq.com/markets/corn.aspx?timeframe=2y" TargetMode="Externa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27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57.bin"/><Relationship Id="rId1" Type="http://schemas.openxmlformats.org/officeDocument/2006/relationships/hyperlink" Target="http://www.trendforce.com/price" TargetMode="Externa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queryTable" Target="../queryTables/queryTable2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31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36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3.bin"/><Relationship Id="rId1" Type="http://schemas.openxmlformats.org/officeDocument/2006/relationships/hyperlink" Target="http://www.wsj.com/mdc/public/page/2_3021-peyield.html" TargetMode="Externa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4.bin"/><Relationship Id="rId4" Type="http://schemas.openxmlformats.org/officeDocument/2006/relationships/queryTable" Target="../queryTables/queryTable38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7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42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3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46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8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2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3.bin"/><Relationship Id="rId4" Type="http://schemas.openxmlformats.org/officeDocument/2006/relationships/queryTable" Target="../queryTables/queryTable50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35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7.xml"/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8.xml"/><Relationship Id="rId1" Type="http://schemas.openxmlformats.org/officeDocument/2006/relationships/printerSettings" Target="../printerSettings/printerSettings79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36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7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64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66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82.bin"/><Relationship Id="rId4" Type="http://schemas.openxmlformats.org/officeDocument/2006/relationships/queryTable" Target="../queryTables/queryTable68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drawing" Target="../drawings/drawing4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zoomScaleNormal="100" workbookViewId="0">
      <pane ySplit="1" topLeftCell="A2" activePane="bottomLeft" state="frozen"/>
      <selection pane="bottomLeft" activeCell="O86" sqref="O86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42578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9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0.28515625" style="49" bestFit="1" customWidth="1"/>
    <col min="20" max="21" width="10.7109375" style="49" bestFit="1" customWidth="1"/>
    <col min="22" max="23" width="10.28515625" style="49" bestFit="1" customWidth="1"/>
    <col min="24" max="24" width="9.140625" style="49"/>
    <col min="25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 t="s">
        <v>1179</v>
      </c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1175</v>
      </c>
      <c r="J1" s="57" t="s">
        <v>74</v>
      </c>
      <c r="K1" s="357" t="s">
        <v>1174</v>
      </c>
      <c r="L1" s="346" t="s">
        <v>1176</v>
      </c>
      <c r="M1" s="357" t="s">
        <v>178</v>
      </c>
      <c r="N1" s="57" t="s">
        <v>229</v>
      </c>
      <c r="O1" s="834" t="s">
        <v>946</v>
      </c>
      <c r="P1" s="346" t="s">
        <v>206</v>
      </c>
      <c r="Q1" s="346" t="s">
        <v>278</v>
      </c>
      <c r="R1" s="357" t="s">
        <v>973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8"/>
      <c r="E2" s="22" t="s">
        <v>195</v>
      </c>
      <c r="F2" s="2">
        <v>28.75</v>
      </c>
      <c r="G2" s="78">
        <v>27.715833333333347</v>
      </c>
      <c r="H2">
        <v>1500</v>
      </c>
      <c r="I2" s="2">
        <v>43125</v>
      </c>
      <c r="J2" s="2">
        <v>41573.750000000022</v>
      </c>
      <c r="K2" s="2">
        <v>1551.2499999999709</v>
      </c>
      <c r="L2" s="736">
        <v>3.7313208454853829E-2</v>
      </c>
      <c r="M2" s="2">
        <v>3299.2199999999648</v>
      </c>
      <c r="N2" s="29">
        <v>43297</v>
      </c>
      <c r="O2" t="s">
        <v>1156</v>
      </c>
      <c r="P2" s="736">
        <v>1.9478260869565219E-2</v>
      </c>
      <c r="Q2" s="736">
        <v>-1.24E-2</v>
      </c>
      <c r="R2" s="2">
        <v>13.855421686746986</v>
      </c>
      <c r="S2" s="736"/>
      <c r="T2" s="48"/>
      <c r="V2" s="48"/>
    </row>
    <row r="3" spans="1:41" ht="21.95" customHeight="1" x14ac:dyDescent="0.25">
      <c r="A3" s="51"/>
      <c r="B3" s="50"/>
      <c r="C3" s="51"/>
      <c r="D3" s="788"/>
      <c r="E3" s="22" t="s">
        <v>50</v>
      </c>
      <c r="F3" s="2">
        <v>21.91</v>
      </c>
      <c r="G3" s="78">
        <v>5.4859588235293799</v>
      </c>
      <c r="H3">
        <v>1700</v>
      </c>
      <c r="I3" s="2">
        <v>37247</v>
      </c>
      <c r="J3" s="2">
        <v>9326.1299999999464</v>
      </c>
      <c r="K3" s="2">
        <v>27920.870000000054</v>
      </c>
      <c r="L3" s="736">
        <v>2.9938323827783031</v>
      </c>
      <c r="M3" s="2">
        <v>42536.44100000168</v>
      </c>
      <c r="N3" s="29">
        <v>43297</v>
      </c>
      <c r="O3" t="s">
        <v>1122</v>
      </c>
      <c r="P3" s="736">
        <v>9.1282519397535376E-3</v>
      </c>
      <c r="Q3" s="736">
        <v>3.8899999999999997E-2</v>
      </c>
      <c r="R3" s="2">
        <v>34.777777777777779</v>
      </c>
      <c r="S3" s="48"/>
      <c r="T3" s="48"/>
    </row>
    <row r="4" spans="1:41" ht="21.95" customHeight="1" x14ac:dyDescent="0.25">
      <c r="A4" s="51"/>
      <c r="B4" s="152"/>
      <c r="C4" s="325"/>
      <c r="D4" s="788"/>
      <c r="E4" s="22" t="s">
        <v>918</v>
      </c>
      <c r="F4" s="2">
        <v>127.84990000000001</v>
      </c>
      <c r="G4" s="78">
        <v>126.87489999999998</v>
      </c>
      <c r="H4">
        <v>100</v>
      </c>
      <c r="I4" s="2">
        <v>12784.99</v>
      </c>
      <c r="J4" s="2">
        <v>12687.489999999998</v>
      </c>
      <c r="K4" s="2">
        <v>97.500000000001819</v>
      </c>
      <c r="L4" s="736">
        <v>7.6847351209736745E-3</v>
      </c>
      <c r="M4" s="2">
        <v>97.500000000001819</v>
      </c>
      <c r="N4">
        <v>30</v>
      </c>
      <c r="O4" t="s">
        <v>1132</v>
      </c>
      <c r="P4" s="736">
        <v>4.0672695090101752E-3</v>
      </c>
      <c r="Q4" s="736">
        <v>-5.0000000000000001E-3</v>
      </c>
      <c r="R4" s="2">
        <v>14.831774941995361</v>
      </c>
      <c r="S4" s="736"/>
      <c r="W4" s="48"/>
      <c r="X4"/>
      <c r="Y4"/>
      <c r="Z4"/>
      <c r="AA4" s="2"/>
      <c r="AB4"/>
      <c r="AC4"/>
      <c r="AD4" s="2"/>
      <c r="AE4"/>
      <c r="AF4"/>
      <c r="AG4" s="2"/>
      <c r="AH4"/>
      <c r="AI4" s="2"/>
      <c r="AJ4"/>
      <c r="AK4"/>
      <c r="AL4"/>
      <c r="AM4"/>
      <c r="AN4"/>
      <c r="AO4"/>
    </row>
    <row r="5" spans="1:41" ht="21.95" customHeight="1" x14ac:dyDescent="0.25">
      <c r="A5" s="50"/>
      <c r="B5" s="50"/>
      <c r="C5" s="51"/>
      <c r="D5" s="788"/>
      <c r="E5" s="22" t="s">
        <v>735</v>
      </c>
      <c r="F5" s="2">
        <v>63.73</v>
      </c>
      <c r="G5" s="78">
        <v>62.082000000000043</v>
      </c>
      <c r="H5">
        <v>200</v>
      </c>
      <c r="I5" s="2">
        <v>12746</v>
      </c>
      <c r="J5" s="2">
        <v>12416.400000000009</v>
      </c>
      <c r="K5" s="2">
        <v>329.59999999999127</v>
      </c>
      <c r="L5" s="736">
        <v>2.654553654843517E-2</v>
      </c>
      <c r="M5" s="2">
        <v>329.59999999999127</v>
      </c>
      <c r="N5" s="29">
        <v>43311</v>
      </c>
      <c r="O5" t="s">
        <v>1166</v>
      </c>
      <c r="P5" s="736">
        <v>2.510591558135886E-2</v>
      </c>
      <c r="Q5" s="736">
        <v>6.7999999999999996E-3</v>
      </c>
      <c r="R5" s="2">
        <v>10.666108786610879</v>
      </c>
      <c r="S5" s="736"/>
      <c r="T5" s="48"/>
      <c r="X5"/>
      <c r="Y5"/>
      <c r="Z5"/>
      <c r="AA5" s="2"/>
      <c r="AB5"/>
      <c r="AC5"/>
      <c r="AD5" s="2"/>
      <c r="AE5"/>
      <c r="AF5"/>
      <c r="AG5" s="2"/>
      <c r="AH5"/>
      <c r="AI5" s="2"/>
      <c r="AJ5"/>
      <c r="AK5"/>
      <c r="AL5"/>
      <c r="AM5"/>
      <c r="AN5"/>
      <c r="AO5"/>
    </row>
    <row r="6" spans="1:41" ht="21.95" customHeight="1" x14ac:dyDescent="0.25">
      <c r="A6" s="50"/>
      <c r="B6" s="50"/>
      <c r="C6" s="51"/>
      <c r="D6" s="788"/>
      <c r="E6" s="22" t="s">
        <v>32</v>
      </c>
      <c r="F6" s="2">
        <v>50.51</v>
      </c>
      <c r="G6" s="78">
        <v>47.110650000000007</v>
      </c>
      <c r="H6">
        <v>200</v>
      </c>
      <c r="I6" s="2">
        <v>10102</v>
      </c>
      <c r="J6" s="2">
        <v>9422.130000000001</v>
      </c>
      <c r="K6" s="2">
        <v>679.86999999999898</v>
      </c>
      <c r="L6" s="736">
        <v>7.2156720401862232E-2</v>
      </c>
      <c r="M6" s="2">
        <v>1878.3399999999961</v>
      </c>
      <c r="N6">
        <v>100</v>
      </c>
      <c r="O6" t="s">
        <v>1177</v>
      </c>
      <c r="P6" s="736">
        <v>2.4153632943971493E-2</v>
      </c>
      <c r="Q6" s="736">
        <v>1.8599999999999998E-2</v>
      </c>
      <c r="R6" s="2">
        <v>8.693631669535284</v>
      </c>
      <c r="S6" s="48"/>
      <c r="T6" s="48"/>
      <c r="V6" s="48"/>
    </row>
    <row r="7" spans="1:41" ht="21.95" customHeight="1" x14ac:dyDescent="0.25">
      <c r="A7" s="50"/>
      <c r="B7" s="50"/>
      <c r="C7" s="51"/>
      <c r="D7" s="788"/>
      <c r="E7" s="22" t="s">
        <v>824</v>
      </c>
      <c r="F7" s="2">
        <v>23.259899999999998</v>
      </c>
      <c r="G7" s="78">
        <v>30.841699999999999</v>
      </c>
      <c r="H7">
        <v>400</v>
      </c>
      <c r="I7" s="2">
        <v>9303.9599999999991</v>
      </c>
      <c r="J7" s="2">
        <v>12336.68</v>
      </c>
      <c r="K7" s="2">
        <v>-3032.7200000000012</v>
      </c>
      <c r="L7" s="736">
        <v>-0.24582951004646311</v>
      </c>
      <c r="M7" s="2">
        <v>-3032.7200000000012</v>
      </c>
      <c r="N7">
        <v>300</v>
      </c>
      <c r="O7"/>
      <c r="P7" s="736">
        <v>4.4712144076285799E-2</v>
      </c>
      <c r="Q7" s="736">
        <v>7.7999999999999996E-3</v>
      </c>
      <c r="R7" s="2">
        <v>13.682294117647059</v>
      </c>
      <c r="U7" s="48"/>
    </row>
    <row r="8" spans="1:41" ht="21.95" customHeight="1" x14ac:dyDescent="0.25">
      <c r="A8" s="50"/>
      <c r="B8" s="50"/>
      <c r="C8" s="51"/>
      <c r="D8" s="788"/>
      <c r="E8" s="22" t="s">
        <v>964</v>
      </c>
      <c r="F8" s="2">
        <v>45.809899999999999</v>
      </c>
      <c r="G8" s="78">
        <v>49.396250000000002</v>
      </c>
      <c r="H8">
        <v>200</v>
      </c>
      <c r="I8" s="2">
        <v>9161.98</v>
      </c>
      <c r="J8" s="2">
        <v>9879.25</v>
      </c>
      <c r="K8" s="2">
        <v>-717.27000000000044</v>
      </c>
      <c r="L8" s="736">
        <v>-7.2603689551332395E-2</v>
      </c>
      <c r="M8" s="2">
        <v>-717.27000000000044</v>
      </c>
      <c r="N8">
        <v>200</v>
      </c>
      <c r="O8"/>
      <c r="P8" s="736">
        <v>1.9900000000000001E-2</v>
      </c>
      <c r="Q8" s="736">
        <v>9.4999999999999998E-3</v>
      </c>
      <c r="R8" s="2">
        <v>17.619192307692305</v>
      </c>
      <c r="U8" s="48"/>
    </row>
    <row r="9" spans="1:41" ht="21.95" customHeight="1" x14ac:dyDescent="0.25">
      <c r="A9" s="51"/>
      <c r="B9" s="51"/>
      <c r="C9" s="51"/>
      <c r="D9" s="788"/>
      <c r="E9" s="22" t="s">
        <v>14</v>
      </c>
      <c r="F9" s="2">
        <v>58.0199</v>
      </c>
      <c r="G9" s="78">
        <v>58.980266666666672</v>
      </c>
      <c r="H9">
        <v>150</v>
      </c>
      <c r="I9" s="2">
        <v>8702.9850000000006</v>
      </c>
      <c r="J9" s="2">
        <v>8847.0400000000009</v>
      </c>
      <c r="K9" s="2">
        <v>-144.05500000000029</v>
      </c>
      <c r="L9" s="736">
        <v>-1.6282847144355725E-2</v>
      </c>
      <c r="M9" s="2">
        <v>-144.05500000000029</v>
      </c>
      <c r="N9">
        <v>100</v>
      </c>
      <c r="O9" t="s">
        <v>1138</v>
      </c>
      <c r="P9" s="736">
        <v>4.550162961328786E-2</v>
      </c>
      <c r="Q9" s="736">
        <v>-4.3E-3</v>
      </c>
      <c r="R9" s="2">
        <v>14.633013871374528</v>
      </c>
      <c r="S9" s="48"/>
    </row>
    <row r="10" spans="1:41" ht="21.95" customHeight="1" x14ac:dyDescent="0.25">
      <c r="A10" s="50"/>
      <c r="B10" s="50"/>
      <c r="C10" s="50"/>
      <c r="D10" s="788"/>
      <c r="E10" s="22" t="s">
        <v>225</v>
      </c>
      <c r="F10" s="2">
        <v>28.36</v>
      </c>
      <c r="G10" s="78">
        <v>14.744499999999874</v>
      </c>
      <c r="H10">
        <v>300</v>
      </c>
      <c r="I10" s="2">
        <v>8508</v>
      </c>
      <c r="J10" s="2">
        <v>4423.3499999999622</v>
      </c>
      <c r="K10" s="2">
        <v>4084.6500000000378</v>
      </c>
      <c r="L10" s="736">
        <v>0.92342907524841411</v>
      </c>
      <c r="M10" s="2">
        <v>5536.9100000000362</v>
      </c>
      <c r="N10">
        <v>100</v>
      </c>
      <c r="O10"/>
      <c r="P10" s="736">
        <v>3.526093088857546E-3</v>
      </c>
      <c r="Q10" s="736">
        <v>8.2000000000000007E-3</v>
      </c>
      <c r="R10" s="2">
        <v>20.25714285714286</v>
      </c>
      <c r="S10" s="736"/>
    </row>
    <row r="11" spans="1:41" ht="21.95" customHeight="1" x14ac:dyDescent="0.25">
      <c r="A11" s="50"/>
      <c r="B11" s="51"/>
      <c r="C11" s="51"/>
      <c r="D11" s="788"/>
      <c r="E11" s="22" t="s">
        <v>958</v>
      </c>
      <c r="F11" s="2">
        <v>33.559899999999999</v>
      </c>
      <c r="G11" s="78">
        <v>32.480520000000006</v>
      </c>
      <c r="H11">
        <v>250</v>
      </c>
      <c r="I11" s="2">
        <v>8389.9750000000004</v>
      </c>
      <c r="J11" s="2">
        <v>8120.130000000001</v>
      </c>
      <c r="K11" s="2">
        <v>269.84499999999935</v>
      </c>
      <c r="L11" s="736">
        <v>3.3231610823964433E-2</v>
      </c>
      <c r="M11" s="2">
        <v>269.84499999999935</v>
      </c>
      <c r="N11">
        <v>100</v>
      </c>
      <c r="O11"/>
      <c r="P11" s="736">
        <v>1.9900000000000001E-2</v>
      </c>
      <c r="Q11" s="736">
        <v>-5.9999999999999995E-4</v>
      </c>
      <c r="R11" s="2">
        <v>13.423959999999999</v>
      </c>
    </row>
    <row r="12" spans="1:41" ht="21.95" customHeight="1" x14ac:dyDescent="0.25">
      <c r="A12" s="60"/>
      <c r="B12" s="61"/>
      <c r="C12" s="60"/>
      <c r="D12" s="788"/>
      <c r="E12" s="22" t="s">
        <v>174</v>
      </c>
      <c r="F12" s="2">
        <v>27.8399</v>
      </c>
      <c r="G12" s="78">
        <v>35.466428571428544</v>
      </c>
      <c r="H12">
        <v>280</v>
      </c>
      <c r="I12" s="2">
        <v>7795.1720000000005</v>
      </c>
      <c r="J12" s="2">
        <v>9930.5999999999931</v>
      </c>
      <c r="K12" s="2">
        <v>-2135.4279999999908</v>
      </c>
      <c r="L12" s="736">
        <v>-0.21503514389865608</v>
      </c>
      <c r="M12" s="2">
        <v>-2060.4079999999908</v>
      </c>
      <c r="N12">
        <v>280</v>
      </c>
      <c r="O12"/>
      <c r="P12" s="736">
        <v>3.3046095711550691E-2</v>
      </c>
      <c r="Q12" s="736">
        <v>1.49E-2</v>
      </c>
      <c r="R12" s="2">
        <v>10.42692883895131</v>
      </c>
      <c r="S12" s="736"/>
      <c r="U12" s="48"/>
    </row>
    <row r="13" spans="1:41" ht="21.95" customHeight="1" x14ac:dyDescent="0.25">
      <c r="A13" s="50"/>
      <c r="B13" s="51"/>
      <c r="C13" s="51"/>
      <c r="D13" s="788"/>
      <c r="E13" s="22" t="s">
        <v>694</v>
      </c>
      <c r="F13" s="2">
        <v>250.69990000000001</v>
      </c>
      <c r="G13" s="78">
        <v>110.19166666666715</v>
      </c>
      <c r="H13">
        <v>30</v>
      </c>
      <c r="I13" s="2">
        <v>7520.9970000000003</v>
      </c>
      <c r="J13" s="2">
        <v>3305.7500000000146</v>
      </c>
      <c r="K13" s="2">
        <v>4215.2469999999857</v>
      </c>
      <c r="L13" s="736">
        <v>1.2751257657112509</v>
      </c>
      <c r="M13" s="2">
        <v>4440.0169999999862</v>
      </c>
      <c r="N13" s="29">
        <v>43307</v>
      </c>
      <c r="O13" t="s">
        <v>1169</v>
      </c>
      <c r="P13" s="736">
        <v>0</v>
      </c>
      <c r="Q13" s="736">
        <v>3.3300000000000003E-2</v>
      </c>
      <c r="R13" s="2">
        <v>25.602522467320263</v>
      </c>
      <c r="S13" s="736"/>
      <c r="T13" s="48"/>
      <c r="U13" s="48"/>
    </row>
    <row r="14" spans="1:41" ht="21.95" customHeight="1" x14ac:dyDescent="0.25">
      <c r="A14" s="50"/>
      <c r="B14" s="50"/>
      <c r="C14" s="51"/>
      <c r="D14" s="788"/>
      <c r="E14" s="22" t="s">
        <v>171</v>
      </c>
      <c r="F14" s="2">
        <v>44.309899999999999</v>
      </c>
      <c r="G14" s="78">
        <v>52.35306666666667</v>
      </c>
      <c r="H14">
        <v>150</v>
      </c>
      <c r="I14" s="2">
        <v>6646.4849999999997</v>
      </c>
      <c r="J14" s="2">
        <v>7852.9600000000009</v>
      </c>
      <c r="K14" s="2">
        <v>-1206.4749999999995</v>
      </c>
      <c r="L14" s="736">
        <v>-0.15363315234000946</v>
      </c>
      <c r="M14" s="2">
        <v>-1156.5249999999996</v>
      </c>
      <c r="N14">
        <v>150</v>
      </c>
      <c r="O14" t="s">
        <v>1125</v>
      </c>
      <c r="P14" s="736">
        <v>4.4233907095254106E-2</v>
      </c>
      <c r="Q14" s="736">
        <v>-1.6199999999999999E-2</v>
      </c>
      <c r="R14" s="2">
        <v>14.386331168831168</v>
      </c>
      <c r="S14" s="736"/>
      <c r="T14" s="48"/>
    </row>
    <row r="15" spans="1:41" ht="21.95" customHeight="1" x14ac:dyDescent="0.25">
      <c r="A15" s="50"/>
      <c r="B15" s="50"/>
      <c r="C15" s="51"/>
      <c r="D15" s="788"/>
      <c r="E15" s="22" t="s">
        <v>269</v>
      </c>
      <c r="F15" s="2">
        <v>126.04989999999999</v>
      </c>
      <c r="G15" s="78">
        <v>119.88</v>
      </c>
      <c r="H15">
        <v>50</v>
      </c>
      <c r="I15" s="2">
        <v>6302.4949999999999</v>
      </c>
      <c r="J15" s="2">
        <v>5994</v>
      </c>
      <c r="K15" s="2">
        <v>308.49499999999989</v>
      </c>
      <c r="L15" s="736">
        <v>5.1467300633967289E-2</v>
      </c>
      <c r="M15" s="2">
        <v>463.27499999999964</v>
      </c>
      <c r="N15">
        <v>50</v>
      </c>
      <c r="O15" t="s">
        <v>1173</v>
      </c>
      <c r="P15" s="736">
        <v>2.5700000000000001E-2</v>
      </c>
      <c r="Q15" s="736">
        <v>2.3E-3</v>
      </c>
      <c r="R15" s="2">
        <v>15.523386699507389</v>
      </c>
      <c r="S15" s="736"/>
      <c r="T15" s="48"/>
      <c r="X15"/>
      <c r="Y15"/>
      <c r="Z15"/>
      <c r="AA15" s="2"/>
      <c r="AB15"/>
      <c r="AC15"/>
      <c r="AD15" s="2"/>
      <c r="AE15"/>
      <c r="AF15"/>
      <c r="AG15" s="2"/>
      <c r="AH15"/>
      <c r="AI15" s="2"/>
      <c r="AJ15"/>
      <c r="AK15"/>
      <c r="AL15"/>
      <c r="AM15"/>
      <c r="AN15"/>
      <c r="AO15"/>
    </row>
    <row r="16" spans="1:41" ht="21.95" customHeight="1" x14ac:dyDescent="0.25">
      <c r="A16" s="50"/>
      <c r="B16" s="50"/>
      <c r="C16" s="51"/>
      <c r="D16" s="788"/>
      <c r="E16" s="22" t="s">
        <v>1149</v>
      </c>
      <c r="F16" s="78">
        <v>53.369900000000001</v>
      </c>
      <c r="G16" s="78">
        <v>51.18</v>
      </c>
      <c r="H16">
        <v>100</v>
      </c>
      <c r="I16" s="2">
        <v>5336.99</v>
      </c>
      <c r="J16" s="2">
        <v>5118</v>
      </c>
      <c r="K16" s="2">
        <v>218.98999999999978</v>
      </c>
      <c r="L16" s="736">
        <v>4.2788198515044971E-2</v>
      </c>
      <c r="M16" s="2">
        <v>218.98999999999978</v>
      </c>
      <c r="N16" s="29">
        <v>43311</v>
      </c>
      <c r="O16"/>
      <c r="P16" s="736">
        <v>3.2977389877065534E-2</v>
      </c>
      <c r="Q16" s="736">
        <v>1.6799999999999999E-2</v>
      </c>
      <c r="R16" s="2">
        <v>6.1914037122969843</v>
      </c>
      <c r="S16" s="736"/>
      <c r="X16"/>
      <c r="Y16"/>
      <c r="Z16"/>
      <c r="AA16" s="2"/>
      <c r="AB16"/>
      <c r="AC16"/>
      <c r="AD16" s="2"/>
      <c r="AE16"/>
      <c r="AF16"/>
      <c r="AG16" s="2"/>
      <c r="AH16"/>
      <c r="AI16" s="2"/>
      <c r="AJ16"/>
      <c r="AK16"/>
      <c r="AL16"/>
      <c r="AM16"/>
      <c r="AN16"/>
      <c r="AO16"/>
    </row>
    <row r="17" spans="1:41" ht="21.95" customHeight="1" x14ac:dyDescent="0.25">
      <c r="A17" s="50"/>
      <c r="B17" s="50"/>
      <c r="C17" s="51"/>
      <c r="D17" s="788"/>
      <c r="E17" s="22" t="s">
        <v>1044</v>
      </c>
      <c r="F17" s="2">
        <v>52.0199</v>
      </c>
      <c r="G17" s="78">
        <v>48.044899999999998</v>
      </c>
      <c r="H17">
        <v>100</v>
      </c>
      <c r="I17" s="2">
        <v>5201.99</v>
      </c>
      <c r="J17" s="2">
        <v>4804.49</v>
      </c>
      <c r="K17" s="2">
        <v>397.5</v>
      </c>
      <c r="L17" s="736">
        <v>8.2735108200870475E-2</v>
      </c>
      <c r="M17" s="2">
        <v>397.5</v>
      </c>
      <c r="N17">
        <v>100</v>
      </c>
      <c r="O17"/>
      <c r="P17" s="736">
        <v>2.8835118867971681E-2</v>
      </c>
      <c r="Q17" s="736">
        <v>-4.0000000000000001E-3</v>
      </c>
      <c r="R17" s="2"/>
      <c r="S17" s="48"/>
      <c r="T17" s="48"/>
    </row>
    <row r="18" spans="1:41" ht="21.95" customHeight="1" x14ac:dyDescent="0.25">
      <c r="A18" s="50"/>
      <c r="B18" s="50"/>
      <c r="C18" s="50"/>
      <c r="D18" s="788"/>
      <c r="E18" s="22" t="s">
        <v>922</v>
      </c>
      <c r="F18" s="78">
        <v>74.58</v>
      </c>
      <c r="G18" s="78">
        <v>65.593999999999994</v>
      </c>
      <c r="H18">
        <v>60</v>
      </c>
      <c r="I18" s="2">
        <v>4474.8</v>
      </c>
      <c r="J18" s="2">
        <v>3935.6399999999994</v>
      </c>
      <c r="K18" s="2">
        <v>539.16000000000031</v>
      </c>
      <c r="L18" s="736">
        <v>0.13699423727779989</v>
      </c>
      <c r="M18" s="2">
        <v>539.16000000000031</v>
      </c>
      <c r="N18">
        <v>60</v>
      </c>
      <c r="O18"/>
      <c r="P18" s="736">
        <v>1.2872083668543845E-2</v>
      </c>
      <c r="Q18" s="736">
        <v>2.0400000000000001E-2</v>
      </c>
      <c r="R18" s="2">
        <v>21.008450704225353</v>
      </c>
      <c r="S18" s="48"/>
      <c r="U18" s="48"/>
    </row>
    <row r="19" spans="1:41" ht="21.95" customHeight="1" x14ac:dyDescent="0.25">
      <c r="A19" s="50"/>
      <c r="B19" s="50"/>
      <c r="C19" s="50"/>
      <c r="D19" s="788"/>
      <c r="E19" s="22" t="s">
        <v>681</v>
      </c>
      <c r="F19" s="2">
        <v>210.94</v>
      </c>
      <c r="G19" s="78">
        <v>142.98999999999995</v>
      </c>
      <c r="H19">
        <v>20</v>
      </c>
      <c r="I19" s="2">
        <v>4218.8</v>
      </c>
      <c r="J19" s="2">
        <v>2859.7999999999993</v>
      </c>
      <c r="K19" s="2">
        <v>1359.0000000000009</v>
      </c>
      <c r="L19" s="736">
        <v>0.47520805650744857</v>
      </c>
      <c r="M19" s="2">
        <v>1502.0300000000011</v>
      </c>
      <c r="N19">
        <v>20</v>
      </c>
      <c r="O19"/>
      <c r="P19" s="736">
        <v>2.3703422774248601E-3</v>
      </c>
      <c r="Q19" s="736">
        <v>6.3E-3</v>
      </c>
      <c r="R19" s="2">
        <v>30.749271137026238</v>
      </c>
      <c r="S19" s="736"/>
      <c r="X19"/>
      <c r="Y19"/>
      <c r="Z19"/>
      <c r="AA19" s="2"/>
      <c r="AB19"/>
      <c r="AC19"/>
      <c r="AD19" s="2"/>
      <c r="AE19"/>
      <c r="AF19"/>
      <c r="AG19" s="2"/>
      <c r="AH19"/>
      <c r="AI19" s="2"/>
      <c r="AJ19"/>
      <c r="AK19"/>
      <c r="AL19"/>
      <c r="AM19"/>
      <c r="AN19"/>
      <c r="AO19"/>
    </row>
    <row r="20" spans="1:41" ht="21.95" customHeight="1" x14ac:dyDescent="0.25">
      <c r="A20" s="50"/>
      <c r="B20" s="51"/>
      <c r="C20" s="51"/>
      <c r="D20" s="788"/>
      <c r="E20" s="22" t="s">
        <v>781</v>
      </c>
      <c r="F20" s="2">
        <v>13.9499</v>
      </c>
      <c r="G20" s="78">
        <v>15.418666666666669</v>
      </c>
      <c r="H20">
        <v>300</v>
      </c>
      <c r="I20" s="2">
        <v>4184.97</v>
      </c>
      <c r="J20" s="2">
        <v>4625.6000000000004</v>
      </c>
      <c r="K20" s="2">
        <v>-440.63000000000011</v>
      </c>
      <c r="L20" s="736">
        <v>-9.525899342787976E-2</v>
      </c>
      <c r="M20" s="2">
        <v>-440.63000000000011</v>
      </c>
      <c r="N20">
        <v>200</v>
      </c>
      <c r="O20"/>
      <c r="P20" s="736">
        <v>3.4408848808952036E-2</v>
      </c>
      <c r="Q20" s="736">
        <v>6.4999999999999997E-3</v>
      </c>
      <c r="R20" s="2">
        <v>14.684105263157894</v>
      </c>
      <c r="S20" s="48"/>
      <c r="T20" s="48"/>
      <c r="X20"/>
      <c r="Y20"/>
      <c r="Z20"/>
      <c r="AA20" s="2"/>
      <c r="AB20"/>
      <c r="AC20"/>
      <c r="AD20" s="2"/>
      <c r="AE20"/>
      <c r="AF20"/>
      <c r="AG20" s="2"/>
      <c r="AH20"/>
      <c r="AI20" s="2"/>
      <c r="AJ20"/>
      <c r="AK20"/>
      <c r="AL20"/>
      <c r="AM20"/>
      <c r="AN20"/>
      <c r="AO20"/>
    </row>
    <row r="21" spans="1:41" ht="21.95" customHeight="1" x14ac:dyDescent="0.25">
      <c r="A21" s="50"/>
      <c r="B21" s="50"/>
      <c r="C21" s="51"/>
      <c r="D21" s="788"/>
      <c r="E21" s="22" t="s">
        <v>849</v>
      </c>
      <c r="F21" s="2">
        <v>96.739900000000006</v>
      </c>
      <c r="G21" s="78">
        <v>82.575749999999942</v>
      </c>
      <c r="H21">
        <v>40</v>
      </c>
      <c r="I21" s="2">
        <v>3869.5960000000005</v>
      </c>
      <c r="J21" s="2">
        <v>3303.0299999999979</v>
      </c>
      <c r="K21" s="2">
        <v>566.56600000000162</v>
      </c>
      <c r="L21" s="736">
        <v>0.1715291716999249</v>
      </c>
      <c r="M21" s="2">
        <v>566.56600000000162</v>
      </c>
      <c r="N21">
        <v>40</v>
      </c>
      <c r="O21"/>
      <c r="P21" s="736">
        <v>2.3568351838279756E-2</v>
      </c>
      <c r="Q21" s="736">
        <v>7.1999999999999998E-3</v>
      </c>
      <c r="R21" s="2">
        <v>20.323508403361348</v>
      </c>
      <c r="S21" s="48"/>
      <c r="T21" s="345"/>
      <c r="U21" s="345"/>
    </row>
    <row r="22" spans="1:41" ht="21.95" customHeight="1" x14ac:dyDescent="0.25">
      <c r="A22" s="50"/>
      <c r="B22" s="50"/>
      <c r="C22" s="51"/>
      <c r="D22" s="788"/>
      <c r="E22" s="22" t="s">
        <v>920</v>
      </c>
      <c r="F22" s="2">
        <v>32.149900000000002</v>
      </c>
      <c r="G22" s="78">
        <v>32.211599999999997</v>
      </c>
      <c r="H22">
        <v>100</v>
      </c>
      <c r="I22" s="2">
        <v>3214.9900000000002</v>
      </c>
      <c r="J22" s="2">
        <v>3221.16</v>
      </c>
      <c r="K22" s="2">
        <v>-6.169999999999618</v>
      </c>
      <c r="L22" s="736">
        <v>-1.9154590271825915E-3</v>
      </c>
      <c r="M22" s="2">
        <v>-6.169999999999618</v>
      </c>
      <c r="N22" s="29">
        <v>43297</v>
      </c>
      <c r="O22"/>
      <c r="P22" s="736">
        <v>3.110429581429491E-2</v>
      </c>
      <c r="Q22" s="736">
        <v>-1.5599999999999999E-2</v>
      </c>
      <c r="R22" s="2">
        <v>9.2651008645533146</v>
      </c>
      <c r="S22" s="736"/>
      <c r="T22" s="48"/>
    </row>
    <row r="23" spans="1:41" ht="21.95" customHeight="1" x14ac:dyDescent="0.25">
      <c r="A23" s="50"/>
      <c r="B23" s="50"/>
      <c r="C23" s="51"/>
      <c r="D23" s="788"/>
      <c r="E23" s="22" t="s">
        <v>960</v>
      </c>
      <c r="F23" s="2">
        <v>177.19</v>
      </c>
      <c r="G23" s="78">
        <v>112.24000000000039</v>
      </c>
      <c r="H23">
        <v>15</v>
      </c>
      <c r="I23" s="2">
        <v>2657.85</v>
      </c>
      <c r="J23" s="2">
        <v>1683.6000000000058</v>
      </c>
      <c r="K23" s="2">
        <v>974.24999999999409</v>
      </c>
      <c r="L23" s="736">
        <v>0.5786707056307856</v>
      </c>
      <c r="M23" s="2">
        <v>974.24999999999409</v>
      </c>
      <c r="N23" s="29">
        <v>43307</v>
      </c>
      <c r="O23"/>
      <c r="P23" s="736">
        <v>7.2238839663637906E-3</v>
      </c>
      <c r="Q23" s="736">
        <v>8.9999999999999993E-3</v>
      </c>
      <c r="R23" s="2">
        <v>19.68</v>
      </c>
      <c r="T23" s="48"/>
      <c r="U23" s="48"/>
      <c r="X23"/>
      <c r="Y23"/>
      <c r="Z23"/>
      <c r="AA23" s="2"/>
      <c r="AB23"/>
      <c r="AC23"/>
      <c r="AD23" s="2"/>
      <c r="AE23"/>
      <c r="AF23"/>
      <c r="AG23" s="2"/>
      <c r="AH23"/>
      <c r="AI23" s="2"/>
      <c r="AJ23"/>
      <c r="AK23"/>
      <c r="AL23"/>
      <c r="AM23"/>
      <c r="AN23"/>
      <c r="AO23"/>
    </row>
    <row r="24" spans="1:41" ht="21.95" customHeight="1" x14ac:dyDescent="0.25">
      <c r="A24" s="50"/>
      <c r="B24" s="50"/>
      <c r="C24" s="51"/>
      <c r="D24" s="788"/>
      <c r="E24" s="22" t="s">
        <v>62</v>
      </c>
      <c r="F24" s="78">
        <v>354</v>
      </c>
      <c r="G24" s="78">
        <v>354</v>
      </c>
      <c r="H24">
        <v>0</v>
      </c>
      <c r="I24" s="2">
        <v>0</v>
      </c>
      <c r="J24" s="2">
        <v>0</v>
      </c>
      <c r="K24" s="2">
        <v>0</v>
      </c>
      <c r="L24" s="736">
        <v>0</v>
      </c>
      <c r="M24" s="2">
        <v>1659.3600000000079</v>
      </c>
      <c r="N24">
        <v>0</v>
      </c>
      <c r="O24"/>
      <c r="P24" s="736">
        <v>0</v>
      </c>
      <c r="Q24" s="736">
        <v>-9.7000000000000003E-3</v>
      </c>
      <c r="R24" s="2"/>
      <c r="S24" s="736"/>
      <c r="T24" s="48"/>
      <c r="U24" s="48"/>
    </row>
    <row r="25" spans="1:41" ht="21.95" customHeight="1" x14ac:dyDescent="0.25">
      <c r="A25" s="51"/>
      <c r="B25" s="50"/>
      <c r="C25" s="51"/>
      <c r="D25" s="788"/>
      <c r="E25" s="22" t="s">
        <v>203</v>
      </c>
      <c r="F25" s="2">
        <v>37.11</v>
      </c>
      <c r="G25" s="78">
        <v>37.11</v>
      </c>
      <c r="H25">
        <v>0</v>
      </c>
      <c r="I25" s="2">
        <v>0</v>
      </c>
      <c r="J25" s="2">
        <v>0</v>
      </c>
      <c r="K25" s="2">
        <v>0</v>
      </c>
      <c r="L25" s="736">
        <v>0</v>
      </c>
      <c r="M25" s="2">
        <v>555.54</v>
      </c>
      <c r="N25">
        <v>0</v>
      </c>
      <c r="O25"/>
      <c r="P25" s="736">
        <v>0</v>
      </c>
      <c r="Q25" s="736">
        <v>1.3100000000000001E-2</v>
      </c>
      <c r="R25" s="2"/>
      <c r="S25" s="736"/>
      <c r="T25" s="48"/>
    </row>
    <row r="26" spans="1:41" ht="21.95" customHeight="1" x14ac:dyDescent="0.25">
      <c r="A26" s="50"/>
      <c r="B26" s="50"/>
      <c r="C26" s="51"/>
      <c r="D26" s="788"/>
      <c r="E26" s="22" t="s">
        <v>213</v>
      </c>
      <c r="F26" s="2">
        <v>60.05</v>
      </c>
      <c r="G26" s="78">
        <v>60.05</v>
      </c>
      <c r="H26">
        <v>0</v>
      </c>
      <c r="I26" s="2">
        <v>0</v>
      </c>
      <c r="J26" s="2">
        <v>0</v>
      </c>
      <c r="K26" s="2">
        <v>973.83000000000175</v>
      </c>
      <c r="L26" s="736">
        <v>0</v>
      </c>
      <c r="M26" s="2">
        <v>2131.6999999999971</v>
      </c>
      <c r="N26">
        <v>0</v>
      </c>
      <c r="O26"/>
      <c r="P26" s="736">
        <v>2.4646128226477937E-2</v>
      </c>
      <c r="Q26" s="736">
        <v>1.78E-2</v>
      </c>
      <c r="R26" s="2">
        <v>15.012499999999999</v>
      </c>
      <c r="S26" s="48"/>
      <c r="T26" s="48"/>
      <c r="V26" s="48"/>
    </row>
    <row r="27" spans="1:41" ht="21.95" customHeight="1" x14ac:dyDescent="0.25">
      <c r="A27" s="50"/>
      <c r="B27" s="51"/>
      <c r="C27" s="51"/>
      <c r="D27" s="788"/>
      <c r="E27" s="22" t="s">
        <v>202</v>
      </c>
      <c r="F27" s="78">
        <v>190.58</v>
      </c>
      <c r="G27" s="78">
        <v>190.58</v>
      </c>
      <c r="H27">
        <v>0</v>
      </c>
      <c r="I27" s="2">
        <v>0</v>
      </c>
      <c r="J27" s="2">
        <v>0</v>
      </c>
      <c r="K27" s="2">
        <v>0</v>
      </c>
      <c r="L27" s="736">
        <v>0</v>
      </c>
      <c r="M27" s="2">
        <v>363.09999999999945</v>
      </c>
      <c r="N27">
        <v>0</v>
      </c>
      <c r="O27"/>
      <c r="P27" s="736">
        <v>1.5900000000000001E-2</v>
      </c>
      <c r="Q27" s="736">
        <v>1.3899999999999999E-2</v>
      </c>
      <c r="R27" s="2"/>
      <c r="S27" s="48"/>
    </row>
    <row r="28" spans="1:41" ht="21.95" customHeight="1" x14ac:dyDescent="0.25">
      <c r="A28" s="50"/>
      <c r="B28" s="51"/>
      <c r="C28" s="51"/>
      <c r="D28" s="788"/>
      <c r="E28" s="22" t="s">
        <v>224</v>
      </c>
      <c r="F28" s="2">
        <v>99.91</v>
      </c>
      <c r="G28" s="78">
        <v>99.91</v>
      </c>
      <c r="H28">
        <v>0</v>
      </c>
      <c r="I28" s="2">
        <v>0</v>
      </c>
      <c r="J28" s="2">
        <v>0</v>
      </c>
      <c r="K28" s="2">
        <v>0</v>
      </c>
      <c r="L28" s="736">
        <v>0</v>
      </c>
      <c r="M28" s="2">
        <v>231.53999999999996</v>
      </c>
      <c r="N28">
        <v>0</v>
      </c>
      <c r="O28"/>
      <c r="P28" s="736">
        <v>1.6199999999999999E-2</v>
      </c>
      <c r="Q28" s="736">
        <v>1.4200000000000001E-2</v>
      </c>
      <c r="R28" s="2"/>
      <c r="S28" s="48"/>
      <c r="T28" s="48"/>
      <c r="U28" s="48"/>
      <c r="V28" s="48"/>
    </row>
    <row r="29" spans="1:41" ht="21.95" customHeight="1" x14ac:dyDescent="0.25">
      <c r="A29" s="50"/>
      <c r="B29" s="50"/>
      <c r="C29" s="51"/>
      <c r="D29" s="788"/>
      <c r="E29" s="22" t="s">
        <v>265</v>
      </c>
      <c r="F29" s="2">
        <v>98.39</v>
      </c>
      <c r="G29" s="78">
        <v>98.39</v>
      </c>
      <c r="H29">
        <v>0</v>
      </c>
      <c r="I29" s="2">
        <v>0</v>
      </c>
      <c r="J29" s="2">
        <v>0</v>
      </c>
      <c r="K29" s="2">
        <v>0</v>
      </c>
      <c r="L29" s="736">
        <v>0</v>
      </c>
      <c r="M29" s="2">
        <v>1857.7799999999988</v>
      </c>
      <c r="N29">
        <v>0</v>
      </c>
      <c r="O29"/>
      <c r="P29" s="736">
        <v>1.49E-2</v>
      </c>
      <c r="Q29" s="736">
        <v>-2.5999999999999999E-3</v>
      </c>
      <c r="R29" s="2"/>
      <c r="U29" s="48"/>
    </row>
    <row r="30" spans="1:41" ht="21.95" customHeight="1" x14ac:dyDescent="0.25">
      <c r="A30" s="50"/>
      <c r="B30" s="50"/>
      <c r="C30" s="51"/>
      <c r="D30" s="788"/>
      <c r="E30" s="22" t="s">
        <v>23</v>
      </c>
      <c r="F30" s="2">
        <v>37.69</v>
      </c>
      <c r="G30" s="78">
        <v>37.69</v>
      </c>
      <c r="H30">
        <v>0</v>
      </c>
      <c r="I30" s="2">
        <v>0</v>
      </c>
      <c r="J30" s="2">
        <v>0</v>
      </c>
      <c r="K30" s="2">
        <v>0</v>
      </c>
      <c r="L30" s="736">
        <v>0</v>
      </c>
      <c r="M30" s="2">
        <v>171.89999999999964</v>
      </c>
      <c r="N30">
        <v>0</v>
      </c>
      <c r="O30"/>
      <c r="P30" s="736">
        <v>0</v>
      </c>
      <c r="Q30" s="736">
        <v>-8.0000000000000004E-4</v>
      </c>
      <c r="R30" s="2"/>
    </row>
    <row r="31" spans="1:41" ht="21.95" customHeight="1" x14ac:dyDescent="0.25">
      <c r="A31" s="50"/>
      <c r="B31" s="51"/>
      <c r="C31" s="51"/>
      <c r="D31" s="788"/>
      <c r="E31" s="22" t="s">
        <v>266</v>
      </c>
      <c r="F31" s="2">
        <v>49.56</v>
      </c>
      <c r="G31" s="78">
        <v>49.56</v>
      </c>
      <c r="H31">
        <v>0</v>
      </c>
      <c r="I31" s="2">
        <v>0</v>
      </c>
      <c r="J31" s="2">
        <v>0</v>
      </c>
      <c r="K31" s="2">
        <v>0</v>
      </c>
      <c r="L31" s="736">
        <v>0</v>
      </c>
      <c r="M31" s="2">
        <v>98.449999999999818</v>
      </c>
      <c r="N31">
        <v>0</v>
      </c>
      <c r="O31"/>
      <c r="P31" s="736">
        <v>1.11E-2</v>
      </c>
      <c r="Q31" s="736">
        <v>1.29E-2</v>
      </c>
      <c r="R31" s="2"/>
      <c r="S31" s="736"/>
    </row>
    <row r="32" spans="1:41" ht="21.95" customHeight="1" x14ac:dyDescent="0.25">
      <c r="A32" s="50"/>
      <c r="B32" s="50"/>
      <c r="C32" s="51"/>
      <c r="D32" s="788"/>
      <c r="E32" s="22" t="s">
        <v>325</v>
      </c>
      <c r="F32" s="2">
        <v>11.74</v>
      </c>
      <c r="G32" s="78">
        <v>11.74</v>
      </c>
      <c r="H32">
        <v>0</v>
      </c>
      <c r="I32" s="2">
        <v>0</v>
      </c>
      <c r="J32" s="2">
        <v>0</v>
      </c>
      <c r="K32" s="2">
        <v>-1184.9399999999987</v>
      </c>
      <c r="L32" s="736">
        <v>0</v>
      </c>
      <c r="M32" s="2">
        <v>98.479999999995925</v>
      </c>
      <c r="N32">
        <v>0</v>
      </c>
      <c r="O32"/>
      <c r="P32" s="736">
        <v>0</v>
      </c>
      <c r="Q32" s="736">
        <v>-7.6E-3</v>
      </c>
      <c r="R32" s="2">
        <v>36.6875</v>
      </c>
      <c r="S32" s="736"/>
      <c r="U32" s="48"/>
    </row>
    <row r="33" spans="1:41" ht="21.95" customHeight="1" x14ac:dyDescent="0.25">
      <c r="A33" s="51"/>
      <c r="B33" s="51"/>
      <c r="C33" s="51"/>
      <c r="D33" s="788"/>
      <c r="E33" s="22" t="s">
        <v>36</v>
      </c>
      <c r="F33" s="2">
        <v>53.26</v>
      </c>
      <c r="G33" s="78">
        <v>53.26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117.73999999999978</v>
      </c>
      <c r="N33">
        <v>0</v>
      </c>
      <c r="O33"/>
      <c r="P33" s="736">
        <v>0</v>
      </c>
      <c r="Q33" s="736">
        <v>0.01</v>
      </c>
      <c r="R33" s="2"/>
      <c r="S33" s="736"/>
      <c r="T33" s="48"/>
      <c r="V33" s="48"/>
      <c r="W33" s="48"/>
    </row>
    <row r="34" spans="1:41" ht="21.95" customHeight="1" x14ac:dyDescent="0.25">
      <c r="A34" s="50"/>
      <c r="B34" s="51"/>
      <c r="C34" s="51"/>
      <c r="D34" s="788"/>
      <c r="E34" s="22" t="s">
        <v>313</v>
      </c>
      <c r="F34" s="2">
        <v>40.83</v>
      </c>
      <c r="G34" s="78">
        <v>40.83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264.92000000000007</v>
      </c>
      <c r="N34">
        <v>0</v>
      </c>
      <c r="O34"/>
      <c r="P34" s="736">
        <v>3.4200000000000001E-2</v>
      </c>
      <c r="Q34" s="736">
        <v>5.0000000000000001E-4</v>
      </c>
      <c r="R34" s="2"/>
      <c r="S34" s="736"/>
      <c r="T34" s="48"/>
    </row>
    <row r="35" spans="1:41" ht="21.95" customHeight="1" x14ac:dyDescent="0.25">
      <c r="A35" s="50"/>
      <c r="B35" s="50"/>
      <c r="C35" s="51"/>
      <c r="D35" s="788"/>
      <c r="E35" s="22" t="s">
        <v>298</v>
      </c>
      <c r="F35" s="2">
        <v>56.45</v>
      </c>
      <c r="G35" s="78">
        <v>56.45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910.79999999999927</v>
      </c>
      <c r="N35">
        <v>0</v>
      </c>
      <c r="O35"/>
      <c r="P35" s="736">
        <v>2.87E-2</v>
      </c>
      <c r="Q35" s="736">
        <v>-1.8E-3</v>
      </c>
      <c r="R35" s="2"/>
      <c r="S35" s="736"/>
      <c r="T35" s="48"/>
      <c r="Y35" s="48"/>
    </row>
    <row r="36" spans="1:41" ht="21.95" customHeight="1" x14ac:dyDescent="0.25">
      <c r="A36" s="50"/>
      <c r="B36" s="50"/>
      <c r="C36" s="51"/>
      <c r="D36" s="788"/>
      <c r="E36" s="22" t="s">
        <v>693</v>
      </c>
      <c r="F36" s="2">
        <v>30.82</v>
      </c>
      <c r="G36" s="78">
        <v>30.82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557.94000000000005</v>
      </c>
      <c r="N36">
        <v>0</v>
      </c>
      <c r="O36"/>
      <c r="P36" s="736">
        <v>4.0599999999999997E-2</v>
      </c>
      <c r="Q36" s="736">
        <v>-1.38E-2</v>
      </c>
      <c r="R36" s="2"/>
      <c r="S36" s="48"/>
      <c r="T36" s="48"/>
      <c r="V36" s="48"/>
    </row>
    <row r="37" spans="1:41" ht="21.95" customHeight="1" x14ac:dyDescent="0.25">
      <c r="A37" s="51"/>
      <c r="B37" s="51"/>
      <c r="C37" s="51"/>
      <c r="D37" s="788"/>
      <c r="E37" s="22" t="s">
        <v>247</v>
      </c>
      <c r="F37" s="2">
        <v>76.23</v>
      </c>
      <c r="G37" s="78">
        <v>76.23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329.74000000000069</v>
      </c>
      <c r="N37">
        <v>0</v>
      </c>
      <c r="O37"/>
      <c r="P37" s="736">
        <v>0</v>
      </c>
      <c r="Q37" s="736">
        <v>1.41E-2</v>
      </c>
      <c r="R37" s="2"/>
      <c r="S37" s="736"/>
      <c r="T37" s="48"/>
      <c r="U37" s="48"/>
    </row>
    <row r="38" spans="1:41" ht="21.95" customHeight="1" x14ac:dyDescent="0.25">
      <c r="A38" s="152"/>
      <c r="B38" s="50"/>
      <c r="C38" s="51"/>
      <c r="D38" s="788"/>
      <c r="E38" s="22" t="s">
        <v>672</v>
      </c>
      <c r="F38" s="2">
        <v>17.79</v>
      </c>
      <c r="G38" s="78">
        <v>17.79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309.26000000000022</v>
      </c>
      <c r="N38">
        <v>0</v>
      </c>
      <c r="O38"/>
      <c r="P38" s="736">
        <v>8.8000000000000005E-3</v>
      </c>
      <c r="Q38" s="736">
        <v>3.2500000000000001E-2</v>
      </c>
      <c r="R38" s="2"/>
      <c r="T38" s="48"/>
    </row>
    <row r="39" spans="1:41" ht="21.95" customHeight="1" x14ac:dyDescent="0.25">
      <c r="A39" s="51"/>
      <c r="B39" s="152"/>
      <c r="C39" s="325"/>
      <c r="D39" s="788"/>
      <c r="E39" s="22" t="s">
        <v>274</v>
      </c>
      <c r="F39" s="2">
        <v>67.64</v>
      </c>
      <c r="G39" s="78">
        <v>67.64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197.20999999999549</v>
      </c>
      <c r="N39">
        <v>0</v>
      </c>
      <c r="O39"/>
      <c r="P39" s="736">
        <v>2.5499999999999998E-2</v>
      </c>
      <c r="Q39" s="736">
        <v>1.7399999999999999E-2</v>
      </c>
      <c r="R39" s="2"/>
      <c r="T39" s="48"/>
      <c r="X39" s="736"/>
      <c r="Y39"/>
      <c r="Z39"/>
      <c r="AA39" s="2"/>
      <c r="AB39"/>
      <c r="AC39"/>
      <c r="AD39" s="2"/>
      <c r="AE39"/>
      <c r="AF39"/>
      <c r="AG39" s="2"/>
      <c r="AH39"/>
      <c r="AI39" s="2"/>
      <c r="AJ39"/>
      <c r="AK39"/>
      <c r="AL39"/>
      <c r="AM39" s="2"/>
      <c r="AN39"/>
      <c r="AO39"/>
    </row>
    <row r="40" spans="1:41" ht="21.95" customHeight="1" x14ac:dyDescent="0.25">
      <c r="A40" s="51"/>
      <c r="B40" s="51"/>
      <c r="C40" s="51"/>
      <c r="D40" s="788"/>
      <c r="E40" s="22" t="s">
        <v>736</v>
      </c>
      <c r="F40" s="2">
        <v>249.77</v>
      </c>
      <c r="G40" s="78">
        <v>249.77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843.18000000000029</v>
      </c>
      <c r="N40">
        <v>0</v>
      </c>
      <c r="O40"/>
      <c r="P40" s="736">
        <v>2.8E-3</v>
      </c>
      <c r="Q40" s="736">
        <v>6.4000000000000003E-3</v>
      </c>
      <c r="R40" s="2"/>
      <c r="S40" s="736"/>
      <c r="U40" s="48"/>
    </row>
    <row r="41" spans="1:41" ht="21.95" customHeight="1" x14ac:dyDescent="0.25">
      <c r="A41" s="50"/>
      <c r="B41" s="51"/>
      <c r="C41" s="51"/>
      <c r="D41" s="788"/>
      <c r="E41" s="22" t="s">
        <v>196</v>
      </c>
      <c r="F41" s="2">
        <v>11.2</v>
      </c>
      <c r="G41" s="78">
        <v>11.2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495.20999999999913</v>
      </c>
      <c r="N41">
        <v>0</v>
      </c>
      <c r="O41"/>
      <c r="P41" s="736">
        <v>5.1499999999999997E-2</v>
      </c>
      <c r="Q41" s="736">
        <v>1.3100000000000001E-2</v>
      </c>
      <c r="R41" s="2"/>
      <c r="S41" s="48"/>
      <c r="U41" s="48"/>
    </row>
    <row r="42" spans="1:41" ht="21.95" customHeight="1" x14ac:dyDescent="0.25">
      <c r="A42" s="50"/>
      <c r="B42" s="50"/>
      <c r="C42" s="51"/>
      <c r="D42" s="788"/>
      <c r="E42" s="22" t="s">
        <v>828</v>
      </c>
      <c r="F42" s="2">
        <v>101.38</v>
      </c>
      <c r="G42" s="78">
        <v>101.38</v>
      </c>
      <c r="H42">
        <v>0</v>
      </c>
      <c r="I42" s="2">
        <v>0</v>
      </c>
      <c r="J42" s="2">
        <v>0</v>
      </c>
      <c r="K42" s="2">
        <v>604.30000000000109</v>
      </c>
      <c r="L42" s="736">
        <v>0</v>
      </c>
      <c r="M42" s="2">
        <v>604.30000000000109</v>
      </c>
      <c r="N42">
        <v>0</v>
      </c>
      <c r="O42">
        <v>43294</v>
      </c>
      <c r="P42" s="736">
        <v>6.7074373643716718E-3</v>
      </c>
      <c r="Q42" s="736">
        <v>1.8700000000000001E-2</v>
      </c>
      <c r="R42" s="2">
        <v>21.343157894736841</v>
      </c>
      <c r="U42" s="48"/>
    </row>
    <row r="43" spans="1:41" ht="21.95" customHeight="1" x14ac:dyDescent="0.25">
      <c r="A43" s="50"/>
      <c r="B43" s="50"/>
      <c r="C43" s="51"/>
      <c r="D43" s="788"/>
      <c r="E43" s="22" t="s">
        <v>679</v>
      </c>
      <c r="F43" s="2">
        <v>140.94999999999999</v>
      </c>
      <c r="G43" s="78">
        <v>140.94999999999999</v>
      </c>
      <c r="H43">
        <v>0</v>
      </c>
      <c r="I43" s="2">
        <v>0</v>
      </c>
      <c r="J43" s="2">
        <v>0</v>
      </c>
      <c r="K43" s="2">
        <v>2714.0600000000013</v>
      </c>
      <c r="L43" s="736">
        <v>0</v>
      </c>
      <c r="M43" s="2">
        <v>2714.0600000000013</v>
      </c>
      <c r="N43">
        <v>0</v>
      </c>
      <c r="O43"/>
      <c r="P43" s="736">
        <v>2.8E-3</v>
      </c>
      <c r="Q43" s="736">
        <v>2.7900000000000001E-2</v>
      </c>
      <c r="R43" s="2">
        <v>21.068759342301941</v>
      </c>
      <c r="S43" s="48"/>
      <c r="T43" s="48"/>
    </row>
    <row r="44" spans="1:41" ht="21.95" customHeight="1" x14ac:dyDescent="0.25">
      <c r="A44" s="50"/>
      <c r="B44" s="50"/>
      <c r="C44" s="51"/>
      <c r="D44" s="788"/>
      <c r="E44" s="22" t="s">
        <v>959</v>
      </c>
      <c r="F44" s="2">
        <v>102.01</v>
      </c>
      <c r="G44" s="78">
        <v>102.01</v>
      </c>
      <c r="H44">
        <v>0</v>
      </c>
      <c r="I44" s="2">
        <v>0</v>
      </c>
      <c r="J44" s="2">
        <v>0</v>
      </c>
      <c r="K44" s="2">
        <v>500.88000000000011</v>
      </c>
      <c r="L44" s="736">
        <v>0</v>
      </c>
      <c r="M44" s="2">
        <v>500.88000000000011</v>
      </c>
      <c r="N44">
        <v>0</v>
      </c>
      <c r="O44"/>
      <c r="P44" s="736">
        <v>6.2738947162042933E-3</v>
      </c>
      <c r="Q44" s="736">
        <v>1.44E-2</v>
      </c>
      <c r="R44" s="2">
        <v>13.82249322493225</v>
      </c>
      <c r="V44" s="48"/>
    </row>
    <row r="45" spans="1:41" ht="21.95" customHeight="1" x14ac:dyDescent="0.25">
      <c r="A45" s="50"/>
      <c r="B45" s="50"/>
      <c r="C45" s="51"/>
      <c r="D45" s="788"/>
      <c r="E45" s="22" t="s">
        <v>17</v>
      </c>
      <c r="F45" s="2">
        <v>0</v>
      </c>
      <c r="G45" s="78">
        <v>0</v>
      </c>
      <c r="H45">
        <v>0</v>
      </c>
      <c r="I45" s="2">
        <v>0</v>
      </c>
      <c r="J45" s="2">
        <v>0</v>
      </c>
      <c r="K45" s="2">
        <v>-20818.210000000079</v>
      </c>
      <c r="L45" s="736"/>
      <c r="M45" s="2">
        <v>-20818.210000000079</v>
      </c>
      <c r="N45">
        <v>0</v>
      </c>
      <c r="O45"/>
      <c r="P45" s="736">
        <v>0</v>
      </c>
      <c r="Q45" s="736">
        <v>0</v>
      </c>
      <c r="R45" s="2"/>
      <c r="S45" s="736"/>
      <c r="T45" s="48"/>
      <c r="V45" s="48"/>
    </row>
    <row r="46" spans="1:41" ht="21.95" customHeight="1" x14ac:dyDescent="0.25">
      <c r="A46" s="50"/>
      <c r="B46" s="50"/>
      <c r="C46" s="51"/>
      <c r="D46" s="788"/>
      <c r="E46" s="22" t="s">
        <v>307</v>
      </c>
      <c r="F46" s="2">
        <v>146.99</v>
      </c>
      <c r="G46" s="78">
        <v>146.99</v>
      </c>
      <c r="H46">
        <v>0</v>
      </c>
      <c r="I46" s="2">
        <v>0</v>
      </c>
      <c r="J46" s="2">
        <v>0</v>
      </c>
      <c r="K46" s="2">
        <v>0</v>
      </c>
      <c r="L46" s="736">
        <v>0</v>
      </c>
      <c r="M46" s="2">
        <v>720.56000000000131</v>
      </c>
      <c r="N46">
        <v>0</v>
      </c>
      <c r="O46"/>
      <c r="P46" s="736">
        <v>0</v>
      </c>
      <c r="Q46" s="736">
        <v>-3.3999999999999998E-3</v>
      </c>
      <c r="R46" s="2"/>
      <c r="U46" s="48"/>
    </row>
    <row r="47" spans="1:41" ht="21.95" customHeight="1" x14ac:dyDescent="0.25">
      <c r="A47" s="50"/>
      <c r="B47" s="50"/>
      <c r="C47" s="51"/>
      <c r="D47" s="788"/>
      <c r="E47" s="22" t="s">
        <v>691</v>
      </c>
      <c r="F47" s="2">
        <v>95.7</v>
      </c>
      <c r="G47" s="78">
        <v>95.7</v>
      </c>
      <c r="H47">
        <v>0</v>
      </c>
      <c r="I47" s="2">
        <v>0</v>
      </c>
      <c r="J47" s="2">
        <v>0</v>
      </c>
      <c r="K47" s="2">
        <v>0</v>
      </c>
      <c r="L47" s="736">
        <v>0</v>
      </c>
      <c r="M47" s="2">
        <v>329.55999999999949</v>
      </c>
      <c r="N47">
        <v>0</v>
      </c>
      <c r="O47"/>
      <c r="P47" s="736">
        <v>1.78E-2</v>
      </c>
      <c r="Q47" s="736">
        <v>1.9E-3</v>
      </c>
      <c r="R47" s="2"/>
      <c r="S47" s="736"/>
    </row>
    <row r="48" spans="1:41" ht="21.95" customHeight="1" x14ac:dyDescent="0.25">
      <c r="A48" s="152"/>
      <c r="B48" s="50"/>
      <c r="C48" s="51"/>
      <c r="D48" s="788"/>
      <c r="E48" s="22" t="s">
        <v>734</v>
      </c>
      <c r="F48" s="2">
        <v>690.62</v>
      </c>
      <c r="G48" s="78">
        <v>690.62</v>
      </c>
      <c r="H48">
        <v>0</v>
      </c>
      <c r="I48" s="2">
        <v>0</v>
      </c>
      <c r="J48" s="2">
        <v>0</v>
      </c>
      <c r="K48" s="2">
        <v>0</v>
      </c>
      <c r="L48" s="736">
        <v>0</v>
      </c>
      <c r="M48" s="2">
        <v>559.89000000000033</v>
      </c>
      <c r="N48">
        <v>0</v>
      </c>
      <c r="O48"/>
      <c r="P48" s="736">
        <v>0</v>
      </c>
      <c r="Q48" s="736">
        <v>1.2800000000000001E-2</v>
      </c>
      <c r="R48" s="2"/>
      <c r="S48" s="736"/>
      <c r="T48" s="48"/>
      <c r="U48" s="48"/>
      <c r="X48"/>
      <c r="Y48"/>
      <c r="Z48"/>
      <c r="AA48" s="2"/>
      <c r="AB48"/>
      <c r="AC48"/>
      <c r="AD48" s="2"/>
      <c r="AE48"/>
      <c r="AF48"/>
      <c r="AG48" s="2"/>
      <c r="AH48"/>
      <c r="AI48" s="2"/>
      <c r="AJ48"/>
      <c r="AK48"/>
      <c r="AL48"/>
      <c r="AM48"/>
      <c r="AN48"/>
      <c r="AO48"/>
    </row>
    <row r="49" spans="1:41" ht="21.95" customHeight="1" x14ac:dyDescent="0.25">
      <c r="A49" s="50"/>
      <c r="B49" s="50"/>
      <c r="C49" s="51"/>
      <c r="D49" s="788"/>
      <c r="E49" s="22" t="s">
        <v>945</v>
      </c>
      <c r="F49" s="2">
        <v>53.46</v>
      </c>
      <c r="G49" s="78">
        <v>53.46</v>
      </c>
      <c r="H49">
        <v>0</v>
      </c>
      <c r="I49" s="2">
        <v>0</v>
      </c>
      <c r="J49" s="2">
        <v>0</v>
      </c>
      <c r="K49" s="2">
        <v>1902.8299999999981</v>
      </c>
      <c r="L49" s="736">
        <v>0</v>
      </c>
      <c r="M49" s="2">
        <v>1902.8299999999981</v>
      </c>
      <c r="N49">
        <v>0</v>
      </c>
      <c r="O49"/>
      <c r="P49" s="736">
        <v>2.5813692480359144E-2</v>
      </c>
      <c r="Q49" s="736">
        <v>2.2200000000000001E-2</v>
      </c>
      <c r="R49" s="2">
        <v>12.149999999999999</v>
      </c>
      <c r="S49" s="736"/>
      <c r="X49"/>
      <c r="Y49"/>
      <c r="Z49"/>
      <c r="AA49" s="2"/>
      <c r="AB49"/>
      <c r="AC49"/>
      <c r="AD49" s="2"/>
      <c r="AE49"/>
      <c r="AF49"/>
      <c r="AG49" s="2"/>
      <c r="AH49"/>
      <c r="AI49" s="2"/>
      <c r="AJ49"/>
      <c r="AK49"/>
      <c r="AL49"/>
      <c r="AM49"/>
      <c r="AN49"/>
      <c r="AO49"/>
    </row>
    <row r="50" spans="1:41" ht="21.95" customHeight="1" x14ac:dyDescent="0.25">
      <c r="A50" s="51"/>
      <c r="B50" s="51"/>
      <c r="C50" s="51"/>
      <c r="D50" s="788"/>
      <c r="E50" s="22" t="s">
        <v>944</v>
      </c>
      <c r="F50" s="2">
        <v>227.41</v>
      </c>
      <c r="G50" s="78">
        <v>227.41</v>
      </c>
      <c r="H50">
        <v>0</v>
      </c>
      <c r="I50" s="2">
        <v>0</v>
      </c>
      <c r="J50" s="2">
        <v>0</v>
      </c>
      <c r="K50" s="2">
        <v>137.51000000000022</v>
      </c>
      <c r="L50" s="736">
        <v>0</v>
      </c>
      <c r="M50" s="2">
        <v>137.51000000000022</v>
      </c>
      <c r="N50">
        <v>0</v>
      </c>
      <c r="O50"/>
      <c r="P50" s="736">
        <v>7.739325447429753E-3</v>
      </c>
      <c r="Q50" s="736">
        <v>-1.1000000000000001E-3</v>
      </c>
      <c r="R50" s="2">
        <v>26.381670533642694</v>
      </c>
      <c r="S50" s="736"/>
    </row>
    <row r="51" spans="1:41" ht="21.95" customHeight="1" x14ac:dyDescent="0.25">
      <c r="A51" s="50"/>
      <c r="B51" s="50"/>
      <c r="C51" s="51"/>
      <c r="D51" s="788"/>
      <c r="E51" s="22" t="s">
        <v>941</v>
      </c>
      <c r="F51" s="78">
        <v>63.97</v>
      </c>
      <c r="G51" s="78">
        <v>63.97</v>
      </c>
      <c r="H51">
        <v>0</v>
      </c>
      <c r="I51" s="2">
        <v>0</v>
      </c>
      <c r="J51" s="2">
        <v>0</v>
      </c>
      <c r="K51" s="2">
        <v>77.670000000000073</v>
      </c>
      <c r="L51" s="736">
        <v>0</v>
      </c>
      <c r="M51" s="2">
        <v>77.670000000000073</v>
      </c>
      <c r="N51">
        <v>0</v>
      </c>
      <c r="O51"/>
      <c r="P51" s="736">
        <v>3.9080819133969047E-2</v>
      </c>
      <c r="Q51" s="736">
        <v>-7.1000000000000004E-3</v>
      </c>
      <c r="R51" s="2">
        <v>16.878627968337732</v>
      </c>
      <c r="S51" s="48"/>
      <c r="T51" s="48"/>
      <c r="V51" s="48"/>
      <c r="X51"/>
      <c r="Y51"/>
      <c r="Z51"/>
      <c r="AA51" s="2"/>
      <c r="AB51"/>
      <c r="AC51"/>
      <c r="AD51" s="2"/>
      <c r="AE51"/>
      <c r="AF51"/>
      <c r="AG51" s="2"/>
      <c r="AH51"/>
      <c r="AI51" s="2"/>
      <c r="AJ51"/>
      <c r="AK51"/>
      <c r="AL51"/>
      <c r="AM51"/>
      <c r="AN51"/>
      <c r="AO51"/>
    </row>
    <row r="52" spans="1:41" ht="21.95" customHeight="1" x14ac:dyDescent="0.25">
      <c r="A52" s="50"/>
      <c r="B52" s="50"/>
      <c r="C52" s="51"/>
      <c r="D52" s="788"/>
      <c r="E52" s="22" t="s">
        <v>921</v>
      </c>
      <c r="F52" s="2">
        <v>36.409999999999997</v>
      </c>
      <c r="G52" s="78">
        <v>36.409999999999997</v>
      </c>
      <c r="H52">
        <v>0</v>
      </c>
      <c r="I52" s="2">
        <v>0</v>
      </c>
      <c r="J52" s="2">
        <v>0</v>
      </c>
      <c r="K52" s="2">
        <v>845.78000000000065</v>
      </c>
      <c r="L52" s="736">
        <v>0</v>
      </c>
      <c r="M52" s="2">
        <v>845.78000000000065</v>
      </c>
      <c r="N52">
        <v>0</v>
      </c>
      <c r="O52"/>
      <c r="P52" s="736">
        <v>7.2507552870090641E-2</v>
      </c>
      <c r="Q52" s="736">
        <v>-7.9000000000000008E-3</v>
      </c>
      <c r="R52" s="2"/>
      <c r="T52" s="48"/>
      <c r="U52" s="48"/>
    </row>
    <row r="53" spans="1:41" ht="21.95" customHeight="1" x14ac:dyDescent="0.25">
      <c r="A53" s="50"/>
      <c r="B53" s="50"/>
      <c r="C53" s="51"/>
      <c r="D53" s="788"/>
      <c r="E53" s="22" t="s">
        <v>917</v>
      </c>
      <c r="F53" s="2">
        <v>247.83</v>
      </c>
      <c r="G53" s="78">
        <v>247.83</v>
      </c>
      <c r="H53">
        <v>0</v>
      </c>
      <c r="I53" s="2">
        <v>0</v>
      </c>
      <c r="J53" s="2">
        <v>0</v>
      </c>
      <c r="K53" s="2">
        <v>411.71000000000276</v>
      </c>
      <c r="L53" s="736">
        <v>0</v>
      </c>
      <c r="M53" s="2">
        <v>411.71000000000276</v>
      </c>
      <c r="N53">
        <v>0</v>
      </c>
      <c r="O53"/>
      <c r="P53" s="736">
        <v>1.9900000000000001E-2</v>
      </c>
      <c r="Q53" s="736">
        <v>1.32E-2</v>
      </c>
      <c r="R53" s="2">
        <v>16.34</v>
      </c>
      <c r="X53"/>
      <c r="Y53"/>
      <c r="Z53"/>
      <c r="AA53" s="2"/>
      <c r="AB53"/>
      <c r="AC53"/>
      <c r="AD53" s="2"/>
      <c r="AE53"/>
      <c r="AF53"/>
      <c r="AG53" s="2"/>
      <c r="AH53"/>
      <c r="AI53" s="2"/>
      <c r="AJ53"/>
      <c r="AK53"/>
      <c r="AL53"/>
      <c r="AM53" s="2"/>
      <c r="AN53"/>
      <c r="AO53"/>
    </row>
    <row r="54" spans="1:41" ht="21.95" customHeight="1" x14ac:dyDescent="0.25">
      <c r="A54" s="50"/>
      <c r="B54" s="50"/>
      <c r="C54" s="51"/>
      <c r="D54" s="788"/>
      <c r="E54" s="22" t="s">
        <v>194</v>
      </c>
      <c r="F54" s="2">
        <v>77.28</v>
      </c>
      <c r="G54" s="78">
        <v>77.28</v>
      </c>
      <c r="H54">
        <v>0</v>
      </c>
      <c r="I54" s="2">
        <v>0</v>
      </c>
      <c r="J54" s="2">
        <v>0</v>
      </c>
      <c r="K54" s="2">
        <v>0</v>
      </c>
      <c r="L54" s="736">
        <v>0</v>
      </c>
      <c r="M54" s="2">
        <v>785.90999999999985</v>
      </c>
      <c r="N54">
        <v>0</v>
      </c>
      <c r="O54"/>
      <c r="P54" s="736">
        <v>1.29E-2</v>
      </c>
      <c r="Q54" s="736">
        <v>1.0500000000000001E-2</v>
      </c>
      <c r="R54" s="2"/>
      <c r="V54" s="48"/>
    </row>
    <row r="55" spans="1:41" ht="21.95" customHeight="1" x14ac:dyDescent="0.25">
      <c r="A55" s="50"/>
      <c r="B55" s="50"/>
      <c r="C55" s="51"/>
      <c r="D55" s="788"/>
      <c r="E55" s="22" t="s">
        <v>223</v>
      </c>
      <c r="F55" s="2">
        <v>57.36</v>
      </c>
      <c r="G55" s="78">
        <v>57.36</v>
      </c>
      <c r="H55">
        <v>0</v>
      </c>
      <c r="I55" s="2">
        <v>0</v>
      </c>
      <c r="J55" s="2">
        <v>0</v>
      </c>
      <c r="K55" s="2">
        <v>0</v>
      </c>
      <c r="L55" s="736">
        <v>0</v>
      </c>
      <c r="M55" s="2">
        <v>257.64999999999964</v>
      </c>
      <c r="N55">
        <v>0</v>
      </c>
      <c r="O55"/>
      <c r="P55" s="736">
        <v>0</v>
      </c>
      <c r="Q55" s="736">
        <v>6.6E-3</v>
      </c>
      <c r="R55" s="2"/>
      <c r="S55" s="736"/>
      <c r="U55" s="48"/>
    </row>
    <row r="56" spans="1:41" ht="21.95" customHeight="1" x14ac:dyDescent="0.25">
      <c r="A56" s="50"/>
      <c r="B56" s="51"/>
      <c r="C56" s="51"/>
      <c r="D56" s="788"/>
      <c r="E56" s="22" t="s">
        <v>823</v>
      </c>
      <c r="F56" s="2">
        <v>463.89</v>
      </c>
      <c r="G56" s="78">
        <v>463.89</v>
      </c>
      <c r="H56">
        <v>0</v>
      </c>
      <c r="I56" s="2">
        <v>0</v>
      </c>
      <c r="J56" s="2">
        <v>0</v>
      </c>
      <c r="K56" s="2">
        <v>0</v>
      </c>
      <c r="L56" s="736">
        <v>0</v>
      </c>
      <c r="M56" s="2">
        <v>1264.8599999999997</v>
      </c>
      <c r="N56">
        <v>0</v>
      </c>
      <c r="O56"/>
      <c r="P56" s="736">
        <v>0</v>
      </c>
      <c r="Q56" s="736">
        <v>2.8199999999999999E-2</v>
      </c>
      <c r="R56" s="2"/>
      <c r="S56" s="736"/>
    </row>
    <row r="57" spans="1:41" ht="21.95" customHeight="1" x14ac:dyDescent="0.25">
      <c r="A57" s="51"/>
      <c r="B57" s="51"/>
      <c r="C57" s="51"/>
      <c r="D57" s="788"/>
      <c r="E57" s="22" t="s">
        <v>733</v>
      </c>
      <c r="F57" s="2">
        <v>76.31</v>
      </c>
      <c r="G57" s="78">
        <v>76.31</v>
      </c>
      <c r="H57">
        <v>0</v>
      </c>
      <c r="I57" s="2">
        <v>0</v>
      </c>
      <c r="J57" s="2">
        <v>0</v>
      </c>
      <c r="K57" s="2">
        <v>581.39999999999964</v>
      </c>
      <c r="L57" s="736">
        <v>0</v>
      </c>
      <c r="M57" s="2">
        <v>1040.7199999999993</v>
      </c>
      <c r="N57">
        <v>0</v>
      </c>
      <c r="O57"/>
      <c r="P57" s="736">
        <v>0</v>
      </c>
      <c r="Q57" s="736">
        <v>6.7000000000000002E-3</v>
      </c>
      <c r="R57" s="2">
        <v>18.680538555691555</v>
      </c>
      <c r="S57" s="736"/>
      <c r="T57" s="48"/>
    </row>
    <row r="58" spans="1:41" ht="21.95" customHeight="1" x14ac:dyDescent="0.25">
      <c r="A58" s="50"/>
      <c r="B58" s="51"/>
      <c r="C58" s="51"/>
      <c r="D58" s="788"/>
      <c r="E58" s="22" t="s">
        <v>34</v>
      </c>
      <c r="F58" s="78">
        <v>54.31</v>
      </c>
      <c r="G58" s="78">
        <v>54.31</v>
      </c>
      <c r="H58">
        <v>0</v>
      </c>
      <c r="I58" s="2">
        <v>0</v>
      </c>
      <c r="J58" s="2">
        <v>0</v>
      </c>
      <c r="K58" s="2">
        <v>0</v>
      </c>
      <c r="L58" s="736">
        <v>0</v>
      </c>
      <c r="M58" s="2">
        <v>21137.586999999941</v>
      </c>
      <c r="N58">
        <v>0</v>
      </c>
      <c r="O58"/>
      <c r="P58" s="736">
        <v>0</v>
      </c>
      <c r="Q58" s="736">
        <v>2.0299999999999999E-2</v>
      </c>
      <c r="R58" s="2"/>
      <c r="T58" s="48"/>
    </row>
    <row r="59" spans="1:41" ht="21.95" customHeight="1" x14ac:dyDescent="0.25">
      <c r="A59" s="50"/>
      <c r="B59" s="50"/>
      <c r="C59" s="51"/>
      <c r="D59" s="788"/>
      <c r="E59" s="22" t="s">
        <v>172</v>
      </c>
      <c r="F59" s="2">
        <v>53.05</v>
      </c>
      <c r="G59" s="78">
        <v>53.05</v>
      </c>
      <c r="H59">
        <v>0</v>
      </c>
      <c r="I59" s="2">
        <v>0</v>
      </c>
      <c r="J59" s="2">
        <v>0</v>
      </c>
      <c r="K59" s="2">
        <v>0</v>
      </c>
      <c r="L59" s="736">
        <v>0</v>
      </c>
      <c r="M59" s="2">
        <v>119.92000000000053</v>
      </c>
      <c r="N59">
        <v>0</v>
      </c>
      <c r="O59"/>
      <c r="P59" s="736">
        <v>3.6400000000000002E-2</v>
      </c>
      <c r="Q59" s="736">
        <v>1.34E-2</v>
      </c>
      <c r="R59" s="2"/>
      <c r="S59" s="48"/>
    </row>
    <row r="60" spans="1:41" ht="21.95" customHeight="1" x14ac:dyDescent="0.25">
      <c r="A60" s="50"/>
      <c r="B60" s="50"/>
      <c r="C60" s="51"/>
      <c r="D60" s="788"/>
      <c r="E60" s="22" t="s">
        <v>27</v>
      </c>
      <c r="F60" s="78">
        <v>51.86</v>
      </c>
      <c r="G60" s="78">
        <v>51.86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1407.5400000000009</v>
      </c>
      <c r="N60">
        <v>0</v>
      </c>
      <c r="O60"/>
      <c r="P60" s="736">
        <v>3.0200000000000001E-2</v>
      </c>
      <c r="Q60" s="736">
        <v>9.4999999999999998E-3</v>
      </c>
      <c r="R60" s="2"/>
      <c r="S60" s="48"/>
      <c r="T60" s="48"/>
      <c r="X60"/>
      <c r="Y60"/>
      <c r="Z60"/>
      <c r="AA60" s="2"/>
      <c r="AB60"/>
      <c r="AC60"/>
      <c r="AD60" s="2"/>
      <c r="AE60"/>
      <c r="AF60"/>
      <c r="AG60" s="2"/>
      <c r="AH60"/>
      <c r="AI60" s="2"/>
      <c r="AJ60"/>
      <c r="AK60"/>
      <c r="AL60"/>
      <c r="AM60"/>
      <c r="AN60"/>
      <c r="AO60"/>
    </row>
    <row r="61" spans="1:41" ht="21.95" customHeight="1" x14ac:dyDescent="0.25">
      <c r="A61" s="50"/>
      <c r="B61" s="50"/>
      <c r="C61" s="51"/>
      <c r="D61" s="788"/>
      <c r="E61" s="22" t="s">
        <v>22</v>
      </c>
      <c r="F61" s="2">
        <v>69.209999999999994</v>
      </c>
      <c r="G61" s="78">
        <v>69.209999999999994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3178.8000000000466</v>
      </c>
      <c r="N61">
        <v>0</v>
      </c>
      <c r="O61"/>
      <c r="P61" s="736">
        <v>2.07E-2</v>
      </c>
      <c r="Q61" s="736">
        <v>2.46E-2</v>
      </c>
      <c r="R61" s="2"/>
      <c r="S61" s="736"/>
      <c r="T61" s="48"/>
    </row>
    <row r="62" spans="1:41" ht="21.95" customHeight="1" x14ac:dyDescent="0.25">
      <c r="A62" s="50"/>
      <c r="B62" s="50"/>
      <c r="C62" s="51"/>
      <c r="D62" s="788"/>
      <c r="E62" s="22" t="s">
        <v>42</v>
      </c>
      <c r="F62" s="2">
        <v>145.05000000000001</v>
      </c>
      <c r="G62" s="78">
        <v>145.05000000000001</v>
      </c>
      <c r="H62">
        <v>0</v>
      </c>
      <c r="I62" s="2">
        <v>0</v>
      </c>
      <c r="J62" s="2">
        <v>0</v>
      </c>
      <c r="K62" s="2">
        <v>0</v>
      </c>
      <c r="L62" s="736">
        <v>0</v>
      </c>
      <c r="M62" s="2">
        <v>128.08999999999833</v>
      </c>
      <c r="N62">
        <v>0</v>
      </c>
      <c r="O62"/>
      <c r="P62" s="736">
        <v>2.18E-2</v>
      </c>
      <c r="Q62" s="736">
        <v>1.3899999999999999E-2</v>
      </c>
      <c r="R62" s="2"/>
      <c r="S62" s="48"/>
    </row>
    <row r="63" spans="1:41" ht="21.95" customHeight="1" x14ac:dyDescent="0.25">
      <c r="A63" s="50"/>
      <c r="B63" s="50"/>
      <c r="C63" s="51"/>
      <c r="D63" s="788"/>
      <c r="E63" s="22" t="s">
        <v>267</v>
      </c>
      <c r="F63" s="78">
        <v>47.77</v>
      </c>
      <c r="G63" s="78">
        <v>47.77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427.92000000000007</v>
      </c>
      <c r="N63">
        <v>0</v>
      </c>
      <c r="O63"/>
      <c r="P63" s="736">
        <v>0</v>
      </c>
      <c r="Q63" s="736">
        <v>1.5299999999999999E-2</v>
      </c>
      <c r="R63" s="2"/>
      <c r="S63" s="48"/>
      <c r="T63" s="48"/>
    </row>
    <row r="64" spans="1:41" ht="21.95" customHeight="1" x14ac:dyDescent="0.25">
      <c r="A64" s="50"/>
      <c r="B64" s="50"/>
      <c r="C64" s="51"/>
      <c r="D64" s="788"/>
      <c r="E64" s="22" t="s">
        <v>175</v>
      </c>
      <c r="F64" s="78">
        <v>277.89999999999998</v>
      </c>
      <c r="G64" s="78">
        <v>277.89999999999998</v>
      </c>
      <c r="H64">
        <v>0</v>
      </c>
      <c r="I64" s="2">
        <v>0</v>
      </c>
      <c r="J64" s="2">
        <v>0</v>
      </c>
      <c r="K64" s="2">
        <v>873.70999999999913</v>
      </c>
      <c r="L64" s="736">
        <v>0</v>
      </c>
      <c r="M64" s="2">
        <v>1034.5399999999991</v>
      </c>
      <c r="N64">
        <v>0</v>
      </c>
      <c r="O64"/>
      <c r="P64" s="736">
        <v>1.84E-2</v>
      </c>
      <c r="Q64" s="736">
        <v>8.9999999999999993E-3</v>
      </c>
      <c r="R64" s="2">
        <v>21.376923076923074</v>
      </c>
      <c r="S64" s="48"/>
    </row>
    <row r="65" spans="1:41" ht="21.95" customHeight="1" x14ac:dyDescent="0.25">
      <c r="A65" s="50"/>
      <c r="B65" s="50"/>
      <c r="C65" s="51"/>
      <c r="D65" s="788"/>
      <c r="E65" s="22" t="s">
        <v>170</v>
      </c>
      <c r="F65" s="2">
        <v>100.43</v>
      </c>
      <c r="G65" s="78">
        <v>100.43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1368.9000000000015</v>
      </c>
      <c r="N65">
        <v>0</v>
      </c>
      <c r="O65"/>
      <c r="P65" s="736">
        <v>1.14E-2</v>
      </c>
      <c r="Q65" s="736">
        <v>3.0000000000000001E-3</v>
      </c>
      <c r="R65" s="2"/>
      <c r="S65" s="48"/>
      <c r="U65" s="48"/>
    </row>
    <row r="66" spans="1:41" ht="21.95" customHeight="1" x14ac:dyDescent="0.25">
      <c r="A66" s="50"/>
      <c r="B66" s="50"/>
      <c r="C66" s="51"/>
      <c r="D66" s="788"/>
      <c r="E66" s="22" t="s">
        <v>8</v>
      </c>
      <c r="F66" s="78">
        <v>0</v>
      </c>
      <c r="G66" s="78">
        <v>0</v>
      </c>
      <c r="H66">
        <v>0</v>
      </c>
      <c r="I66" s="2">
        <v>0</v>
      </c>
      <c r="J66" s="2">
        <v>0</v>
      </c>
      <c r="K66" s="2">
        <v>0</v>
      </c>
      <c r="L66" s="736"/>
      <c r="M66" s="2">
        <v>121.94999999999982</v>
      </c>
      <c r="N66">
        <v>0</v>
      </c>
      <c r="O66"/>
      <c r="P66" s="736">
        <v>1.67E-2</v>
      </c>
      <c r="Q66" s="736">
        <v>0</v>
      </c>
      <c r="R66" s="2"/>
      <c r="S66" s="48"/>
      <c r="T66" s="48"/>
    </row>
    <row r="67" spans="1:41" ht="21.95" customHeight="1" x14ac:dyDescent="0.25">
      <c r="A67" s="50"/>
      <c r="B67" s="51"/>
      <c r="C67" s="51"/>
      <c r="D67" s="788"/>
      <c r="E67" s="22" t="s">
        <v>173</v>
      </c>
      <c r="F67" s="2">
        <v>56.77</v>
      </c>
      <c r="G67" s="78">
        <v>56.77</v>
      </c>
      <c r="H67">
        <v>0</v>
      </c>
      <c r="I67" s="2">
        <v>0</v>
      </c>
      <c r="J67" s="2">
        <v>0</v>
      </c>
      <c r="K67" s="2">
        <v>765.37999999999374</v>
      </c>
      <c r="L67" s="736">
        <v>0</v>
      </c>
      <c r="M67" s="2">
        <v>2369.9599999999955</v>
      </c>
      <c r="N67">
        <v>0</v>
      </c>
      <c r="O67" t="s">
        <v>1123</v>
      </c>
      <c r="P67" s="736">
        <v>2.7479302448476309E-2</v>
      </c>
      <c r="Q67" s="736">
        <v>1.5900000000000001E-2</v>
      </c>
      <c r="R67" s="2">
        <v>12.559734513274337</v>
      </c>
      <c r="T67" s="48"/>
      <c r="V67" s="48"/>
    </row>
    <row r="68" spans="1:41" ht="21.95" customHeight="1" x14ac:dyDescent="0.25">
      <c r="A68" s="50"/>
      <c r="B68" s="50"/>
      <c r="C68" s="51"/>
      <c r="D68" s="788"/>
      <c r="E68" s="22" t="s">
        <v>10</v>
      </c>
      <c r="F68" s="2">
        <v>48.29</v>
      </c>
      <c r="G68" s="78">
        <v>48.29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1128.3800000000047</v>
      </c>
      <c r="N68">
        <v>0</v>
      </c>
      <c r="O68"/>
      <c r="P68" s="736">
        <v>1.2500000000000001E-2</v>
      </c>
      <c r="Q68" s="736">
        <v>2.4199999999999999E-2</v>
      </c>
      <c r="R68" s="2"/>
      <c r="S68" s="48"/>
      <c r="T68" s="48"/>
      <c r="U68" s="48"/>
    </row>
    <row r="69" spans="1:41" ht="21.95" customHeight="1" x14ac:dyDescent="0.25">
      <c r="A69" s="50"/>
      <c r="B69" s="50"/>
      <c r="C69" s="51"/>
      <c r="D69" s="788"/>
      <c r="E69" s="22" t="s">
        <v>222</v>
      </c>
      <c r="F69" s="2">
        <v>43.6</v>
      </c>
      <c r="G69" s="78">
        <v>43.6</v>
      </c>
      <c r="H69">
        <v>0</v>
      </c>
      <c r="I69" s="2">
        <v>0</v>
      </c>
      <c r="J69" s="2">
        <v>0</v>
      </c>
      <c r="K69" s="2">
        <v>0</v>
      </c>
      <c r="L69" s="736">
        <v>0</v>
      </c>
      <c r="M69" s="2">
        <v>4376.9599999999991</v>
      </c>
      <c r="N69">
        <v>0</v>
      </c>
      <c r="O69"/>
      <c r="P69" s="736">
        <v>4.0899999999999999E-2</v>
      </c>
      <c r="Q69" s="736">
        <v>1.6799999999999999E-2</v>
      </c>
      <c r="R69" s="2"/>
      <c r="S69" s="48"/>
      <c r="U69" s="48"/>
    </row>
    <row r="70" spans="1:41" ht="21.95" customHeight="1" x14ac:dyDescent="0.25">
      <c r="A70" s="50"/>
      <c r="B70" s="50"/>
      <c r="C70" s="51"/>
      <c r="D70" s="788"/>
      <c r="E70" s="22" t="s">
        <v>340</v>
      </c>
      <c r="F70" s="2">
        <v>77.760000000000005</v>
      </c>
      <c r="G70" s="78">
        <v>77.760000000000005</v>
      </c>
      <c r="H70">
        <v>0</v>
      </c>
      <c r="I70" s="2">
        <v>0</v>
      </c>
      <c r="J70" s="2">
        <v>0</v>
      </c>
      <c r="K70" s="2">
        <v>129.92000000000007</v>
      </c>
      <c r="L70" s="736">
        <v>0</v>
      </c>
      <c r="M70" s="2">
        <v>2190.3500000000004</v>
      </c>
      <c r="N70">
        <v>0</v>
      </c>
      <c r="O70"/>
      <c r="P70" s="736">
        <v>4.3499999999999997E-2</v>
      </c>
      <c r="Q70" s="736">
        <v>1.26E-2</v>
      </c>
      <c r="R70" s="2">
        <v>14.811428571428573</v>
      </c>
      <c r="S70" s="48"/>
      <c r="T70" s="48"/>
    </row>
    <row r="71" spans="1:41" ht="21.95" customHeight="1" x14ac:dyDescent="0.25">
      <c r="A71" s="50"/>
      <c r="B71" s="50"/>
      <c r="C71" s="51"/>
      <c r="D71" s="788"/>
      <c r="E71" s="22" t="s">
        <v>24</v>
      </c>
      <c r="F71" s="2">
        <v>67.39</v>
      </c>
      <c r="G71" s="78">
        <v>67.39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937.36999999999534</v>
      </c>
      <c r="N71">
        <v>0</v>
      </c>
      <c r="O71"/>
      <c r="P71" s="736">
        <v>0</v>
      </c>
      <c r="Q71" s="736">
        <v>6.6E-3</v>
      </c>
      <c r="R71" s="2"/>
      <c r="X71"/>
      <c r="Y71"/>
      <c r="Z71"/>
      <c r="AA71" s="2"/>
      <c r="AB71"/>
      <c r="AC71"/>
      <c r="AD71" s="2"/>
      <c r="AE71"/>
      <c r="AF71"/>
      <c r="AG71" s="2"/>
      <c r="AH71"/>
      <c r="AI71" s="2"/>
      <c r="AJ71"/>
      <c r="AK71"/>
      <c r="AL71"/>
      <c r="AM71"/>
      <c r="AN71"/>
      <c r="AO71"/>
    </row>
    <row r="72" spans="1:41" ht="21.95" customHeight="1" x14ac:dyDescent="0.25">
      <c r="A72" s="51"/>
      <c r="B72" s="51"/>
      <c r="C72" s="51"/>
      <c r="D72" s="788"/>
      <c r="E72" s="22" t="s">
        <v>45</v>
      </c>
      <c r="F72" s="2">
        <v>93.6</v>
      </c>
      <c r="G72" s="78">
        <v>93.6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523.61999999999898</v>
      </c>
      <c r="N72">
        <v>0</v>
      </c>
      <c r="O72"/>
      <c r="P72" s="736">
        <v>1.67E-2</v>
      </c>
      <c r="Q72" s="736">
        <v>1.5599999999999999E-2</v>
      </c>
      <c r="R72" s="2"/>
      <c r="S72" s="736"/>
      <c r="T72" s="48"/>
      <c r="U72" s="48"/>
    </row>
    <row r="73" spans="1:41" ht="21.95" customHeight="1" x14ac:dyDescent="0.25">
      <c r="A73" s="50"/>
      <c r="B73" s="50"/>
      <c r="C73" s="51"/>
      <c r="D73" s="788"/>
      <c r="E73" s="22" t="s">
        <v>47</v>
      </c>
      <c r="F73" s="2">
        <v>157.13999999999999</v>
      </c>
      <c r="G73" s="78">
        <v>157.13999999999999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-168.6200000000008</v>
      </c>
      <c r="N73">
        <v>0</v>
      </c>
      <c r="O73"/>
      <c r="P73" s="736">
        <v>0</v>
      </c>
      <c r="Q73" s="736">
        <v>1.6500000000000001E-2</v>
      </c>
      <c r="R73" s="2"/>
      <c r="S73" s="48"/>
      <c r="T73" s="48"/>
      <c r="U73" s="48"/>
    </row>
    <row r="74" spans="1:41" ht="21.95" customHeight="1" x14ac:dyDescent="0.25">
      <c r="A74" s="50"/>
      <c r="B74" s="50"/>
      <c r="C74" s="50"/>
      <c r="D74" s="788"/>
      <c r="E74" s="22" t="s">
        <v>33</v>
      </c>
      <c r="F74" s="2">
        <v>247.43</v>
      </c>
      <c r="G74" s="78">
        <v>247.43</v>
      </c>
      <c r="H74">
        <v>0</v>
      </c>
      <c r="I74" s="2">
        <v>0</v>
      </c>
      <c r="J74" s="2">
        <v>0</v>
      </c>
      <c r="K74" s="2">
        <v>0</v>
      </c>
      <c r="L74" s="736">
        <v>0</v>
      </c>
      <c r="M74" s="2">
        <v>780.73999999999796</v>
      </c>
      <c r="N74">
        <v>0</v>
      </c>
      <c r="O74"/>
      <c r="P74" s="736">
        <v>1.8599999999999998E-2</v>
      </c>
      <c r="Q74" s="736">
        <v>-1E-3</v>
      </c>
      <c r="R74" s="2"/>
      <c r="S74" s="736"/>
      <c r="U74" s="48"/>
      <c r="V74" s="48"/>
    </row>
    <row r="75" spans="1:41" ht="21.95" customHeight="1" x14ac:dyDescent="0.25">
      <c r="A75" s="50"/>
      <c r="B75" s="50"/>
      <c r="C75" s="51"/>
      <c r="D75" s="788"/>
      <c r="E75" s="22" t="s">
        <v>13</v>
      </c>
      <c r="F75" s="2">
        <v>71.790000000000006</v>
      </c>
      <c r="G75" s="78">
        <v>71.790000000000006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1461.5600000000013</v>
      </c>
      <c r="N75">
        <v>0</v>
      </c>
      <c r="O75"/>
      <c r="P75" s="736">
        <v>0</v>
      </c>
      <c r="Q75" s="736">
        <v>1.14E-2</v>
      </c>
      <c r="R75" s="2"/>
      <c r="S75" s="736"/>
      <c r="T75" s="48"/>
    </row>
    <row r="76" spans="1:41" ht="21.95" customHeight="1" x14ac:dyDescent="0.25">
      <c r="A76" s="50"/>
      <c r="B76" s="50"/>
      <c r="C76" s="51"/>
      <c r="D76" s="788"/>
      <c r="E76" s="22" t="s">
        <v>52</v>
      </c>
      <c r="F76" s="2">
        <v>50.26</v>
      </c>
      <c r="G76" s="78">
        <v>50.26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1056.739999999998</v>
      </c>
      <c r="N76">
        <v>0</v>
      </c>
      <c r="O76"/>
      <c r="P76" s="736">
        <v>2.1999999999999999E-2</v>
      </c>
      <c r="Q76" s="736">
        <v>7.0000000000000001E-3</v>
      </c>
      <c r="R76" s="2"/>
      <c r="S76" s="736"/>
      <c r="T76" s="48"/>
      <c r="U76" s="48"/>
    </row>
    <row r="77" spans="1:41" ht="21.95" customHeight="1" x14ac:dyDescent="0.25">
      <c r="A77" s="51"/>
      <c r="B77" s="51"/>
      <c r="C77" s="51"/>
      <c r="D77" s="788"/>
      <c r="E77" s="22" t="s">
        <v>329</v>
      </c>
      <c r="F77" s="2">
        <v>24.25</v>
      </c>
      <c r="G77" s="78">
        <v>24.25</v>
      </c>
      <c r="H77">
        <v>0</v>
      </c>
      <c r="I77" s="2">
        <v>0</v>
      </c>
      <c r="J77" s="2">
        <v>0</v>
      </c>
      <c r="K77" s="2">
        <v>926.77000000000044</v>
      </c>
      <c r="L77" s="736">
        <v>0</v>
      </c>
      <c r="M77" s="2">
        <v>1211.7400000000052</v>
      </c>
      <c r="N77">
        <v>0</v>
      </c>
      <c r="O77"/>
      <c r="P77" s="736">
        <v>0</v>
      </c>
      <c r="Q77" s="736">
        <v>5.0000000000000001E-3</v>
      </c>
      <c r="R77" s="2">
        <v>9.8979591836734695</v>
      </c>
      <c r="S77" s="48"/>
      <c r="T77" s="48"/>
      <c r="U77" s="48"/>
      <c r="V77" s="48"/>
    </row>
    <row r="78" spans="1:41" ht="21.95" customHeight="1" x14ac:dyDescent="0.25">
      <c r="A78" s="50"/>
      <c r="B78" s="50"/>
      <c r="C78" s="51"/>
      <c r="D78" s="788"/>
      <c r="E78" s="22" t="s">
        <v>63</v>
      </c>
      <c r="F78" s="2">
        <v>106.02</v>
      </c>
      <c r="G78" s="78">
        <v>106.02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257.30999999999949</v>
      </c>
      <c r="N78">
        <v>0</v>
      </c>
      <c r="O78"/>
      <c r="P78" s="736">
        <v>1.38E-2</v>
      </c>
      <c r="Q78" s="736">
        <v>1.18E-2</v>
      </c>
      <c r="R78" s="2"/>
      <c r="S78" s="736"/>
    </row>
    <row r="79" spans="1:41" ht="21.95" customHeight="1" x14ac:dyDescent="0.25">
      <c r="A79" s="50"/>
      <c r="B79" s="50"/>
      <c r="C79" s="51"/>
      <c r="D79" s="788"/>
      <c r="E79" s="22" t="s">
        <v>9</v>
      </c>
      <c r="F79" s="2">
        <v>5.42</v>
      </c>
      <c r="G79" s="78">
        <v>5.42</v>
      </c>
      <c r="H79">
        <v>0</v>
      </c>
      <c r="I79" s="2">
        <v>0</v>
      </c>
      <c r="J79" s="2">
        <v>0</v>
      </c>
      <c r="K79" s="2">
        <v>-8332.1133333333346</v>
      </c>
      <c r="L79" s="736">
        <v>0</v>
      </c>
      <c r="M79" s="2">
        <v>-7897.1833333333343</v>
      </c>
      <c r="N79">
        <v>0</v>
      </c>
      <c r="O79"/>
      <c r="P79" s="736">
        <v>0.04</v>
      </c>
      <c r="Q79" s="736">
        <v>-1.6299999999999999E-2</v>
      </c>
      <c r="R79" s="2"/>
      <c r="S79" s="48"/>
      <c r="U79" s="48"/>
    </row>
    <row r="80" spans="1:41" ht="21.95" customHeight="1" x14ac:dyDescent="0.25">
      <c r="A80" s="51"/>
      <c r="B80" s="51"/>
      <c r="C80" s="51"/>
      <c r="D80" s="788"/>
      <c r="E80" s="22" t="s">
        <v>55</v>
      </c>
      <c r="F80" s="2">
        <v>76.64</v>
      </c>
      <c r="G80" s="78">
        <v>76.64</v>
      </c>
      <c r="H80">
        <v>0</v>
      </c>
      <c r="I80" s="2">
        <v>0</v>
      </c>
      <c r="J80" s="2">
        <v>0</v>
      </c>
      <c r="K80" s="2">
        <v>113.94999999999982</v>
      </c>
      <c r="L80" s="736">
        <v>0</v>
      </c>
      <c r="M80" s="2">
        <v>924.07999999998992</v>
      </c>
      <c r="N80">
        <v>0</v>
      </c>
      <c r="O80"/>
      <c r="P80" s="736">
        <v>2.7139874739039668E-2</v>
      </c>
      <c r="Q80" s="736">
        <v>1.9E-2</v>
      </c>
      <c r="R80" s="2">
        <v>11.863777089783282</v>
      </c>
      <c r="S80" s="48"/>
      <c r="X80"/>
      <c r="Y80"/>
      <c r="Z80"/>
      <c r="AA80" s="2"/>
      <c r="AB80"/>
      <c r="AC80"/>
      <c r="AD80" s="2"/>
      <c r="AE80"/>
      <c r="AF80"/>
      <c r="AG80" s="2"/>
      <c r="AH80"/>
      <c r="AI80" s="2"/>
      <c r="AJ80"/>
      <c r="AK80"/>
      <c r="AL80"/>
      <c r="AM80"/>
      <c r="AN80"/>
      <c r="AO80"/>
    </row>
    <row r="81" spans="1:41" ht="21.95" customHeight="1" x14ac:dyDescent="0.25">
      <c r="A81" s="51"/>
      <c r="B81" s="51"/>
      <c r="C81" s="51"/>
      <c r="D81" s="788"/>
      <c r="E81" s="22" t="s">
        <v>53</v>
      </c>
      <c r="F81" s="2">
        <v>79.05</v>
      </c>
      <c r="G81" s="78">
        <v>79.05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33.940000000000055</v>
      </c>
      <c r="N81">
        <v>0</v>
      </c>
      <c r="O81"/>
      <c r="P81" s="736">
        <v>7.4000000000000003E-3</v>
      </c>
      <c r="Q81" s="736">
        <v>1.3299999999999999E-2</v>
      </c>
      <c r="R81" s="2"/>
      <c r="S81" s="48"/>
      <c r="T81" s="48"/>
      <c r="V81" s="48"/>
      <c r="W81" s="48"/>
      <c r="X81"/>
      <c r="Y81"/>
      <c r="Z81"/>
      <c r="AA81" s="2"/>
      <c r="AB81"/>
      <c r="AC81"/>
      <c r="AD81" s="2"/>
      <c r="AE81"/>
      <c r="AF81"/>
      <c r="AG81" s="2"/>
      <c r="AH81"/>
      <c r="AI81" s="2"/>
      <c r="AJ81"/>
      <c r="AK81"/>
      <c r="AL81"/>
      <c r="AM81"/>
      <c r="AN81"/>
      <c r="AO81"/>
    </row>
    <row r="82" spans="1:41" ht="21.95" customHeight="1" x14ac:dyDescent="0.25">
      <c r="A82" s="50"/>
      <c r="B82" s="51"/>
      <c r="C82" s="51"/>
      <c r="D82" s="788"/>
      <c r="E82" s="22" t="s">
        <v>56</v>
      </c>
      <c r="F82" s="2">
        <v>39.75</v>
      </c>
      <c r="G82" s="78">
        <v>39.75</v>
      </c>
      <c r="H82">
        <v>0</v>
      </c>
      <c r="I82" s="2">
        <v>0</v>
      </c>
      <c r="J82" s="2">
        <v>0</v>
      </c>
      <c r="K82" s="2">
        <v>0</v>
      </c>
      <c r="L82" s="736">
        <v>0</v>
      </c>
      <c r="M82" s="2">
        <v>36.819999999999709</v>
      </c>
      <c r="N82">
        <v>0</v>
      </c>
      <c r="O82"/>
      <c r="P82" s="736">
        <v>4.2999999999999997E-2</v>
      </c>
      <c r="Q82" s="736">
        <v>1.5299999999999999E-2</v>
      </c>
      <c r="R82" s="2"/>
      <c r="T82" s="48"/>
    </row>
    <row r="83" spans="1:41" ht="21.95" customHeight="1" x14ac:dyDescent="0.25">
      <c r="A83" s="51"/>
      <c r="B83" s="51"/>
      <c r="C83" s="51"/>
      <c r="D83" s="788"/>
      <c r="E83" s="22" t="s">
        <v>0</v>
      </c>
      <c r="F83" s="2">
        <v>211.83</v>
      </c>
      <c r="G83" s="78">
        <v>211.83</v>
      </c>
      <c r="H83">
        <v>0</v>
      </c>
      <c r="I83" s="2">
        <v>0</v>
      </c>
      <c r="J83" s="2">
        <v>0</v>
      </c>
      <c r="K83" s="2">
        <v>0</v>
      </c>
      <c r="L83" s="736">
        <v>0</v>
      </c>
      <c r="M83" s="2">
        <v>465.57999999999993</v>
      </c>
      <c r="N83">
        <v>0</v>
      </c>
      <c r="O83"/>
      <c r="P83" s="736">
        <v>3.8999999999999998E-3</v>
      </c>
      <c r="Q83" s="736">
        <v>2.2599999999999999E-2</v>
      </c>
      <c r="R83" s="2"/>
      <c r="S83" s="48"/>
      <c r="T83" s="48"/>
    </row>
    <row r="84" spans="1:41" ht="21.95" customHeight="1" x14ac:dyDescent="0.25">
      <c r="A84" s="50"/>
      <c r="B84" s="50"/>
      <c r="C84" s="51"/>
      <c r="D84" s="788"/>
      <c r="E84" s="22" t="s">
        <v>39</v>
      </c>
      <c r="F84" s="2">
        <v>44.65</v>
      </c>
      <c r="G84" s="78">
        <v>44.65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529.88000000000284</v>
      </c>
      <c r="N84">
        <v>0</v>
      </c>
      <c r="O84"/>
      <c r="P84" s="736">
        <v>2.3E-2</v>
      </c>
      <c r="Q84" s="736">
        <v>2.8799999999999999E-2</v>
      </c>
      <c r="R84" s="2"/>
    </row>
    <row r="85" spans="1:41" ht="21.95" customHeight="1" x14ac:dyDescent="0.25">
      <c r="A85" s="50"/>
      <c r="B85" s="51"/>
      <c r="C85" s="51"/>
      <c r="D85" s="788"/>
      <c r="E85" s="22" t="s">
        <v>54</v>
      </c>
      <c r="F85" s="2">
        <v>126.68</v>
      </c>
      <c r="G85" s="78">
        <v>126.68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114.84999999999991</v>
      </c>
      <c r="N85">
        <v>0</v>
      </c>
      <c r="O85"/>
      <c r="P85" s="736">
        <v>2.35E-2</v>
      </c>
      <c r="Q85" s="736">
        <v>0.01</v>
      </c>
      <c r="R85" s="2"/>
      <c r="S85" s="736"/>
      <c r="T85" s="48"/>
    </row>
    <row r="86" spans="1:41" ht="21.95" customHeight="1" x14ac:dyDescent="0.25">
      <c r="A86" s="50"/>
      <c r="B86" s="50"/>
      <c r="C86" s="51"/>
      <c r="D86" s="788"/>
      <c r="E86" s="22" t="s">
        <v>51</v>
      </c>
      <c r="F86" s="2">
        <v>253.67</v>
      </c>
      <c r="G86" s="78">
        <v>253.67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176.70000000000073</v>
      </c>
      <c r="N86">
        <v>0</v>
      </c>
      <c r="O86"/>
      <c r="P86" s="736">
        <v>1.52E-2</v>
      </c>
      <c r="Q86" s="736">
        <v>1.2E-2</v>
      </c>
      <c r="R86" s="2"/>
    </row>
    <row r="87" spans="1:41" ht="21.95" customHeight="1" x14ac:dyDescent="0.25">
      <c r="A87" s="50"/>
      <c r="B87" s="51"/>
      <c r="C87" s="51"/>
      <c r="F87" s="78"/>
      <c r="G87" s="78"/>
      <c r="H87"/>
      <c r="I87" s="2"/>
      <c r="J87" s="2"/>
      <c r="K87" s="2"/>
      <c r="L87" s="736"/>
      <c r="M87" s="2"/>
      <c r="N87"/>
      <c r="O87"/>
      <c r="P87" s="736"/>
      <c r="Q87" s="736"/>
      <c r="R87" s="2"/>
    </row>
    <row r="88" spans="1:41" ht="21.95" customHeight="1" x14ac:dyDescent="0.25">
      <c r="A88" s="50"/>
      <c r="B88" s="50"/>
      <c r="C88" s="51"/>
      <c r="F88" s="78"/>
      <c r="G88" s="78"/>
      <c r="H88"/>
      <c r="I88" s="2"/>
      <c r="J88" s="2"/>
      <c r="K88" s="2"/>
      <c r="L88" s="736"/>
      <c r="M88" s="2"/>
      <c r="N88"/>
      <c r="O88"/>
      <c r="P88" s="736"/>
      <c r="Q88" s="736"/>
      <c r="R88" s="2"/>
    </row>
    <row r="89" spans="1:41" ht="21.95" customHeight="1" x14ac:dyDescent="0.25">
      <c r="F89" s="78"/>
      <c r="G89" s="78"/>
      <c r="H89"/>
      <c r="I89" s="2"/>
      <c r="J89" s="2"/>
      <c r="K89" s="2"/>
      <c r="L89" s="736"/>
      <c r="M89" s="2"/>
      <c r="N89"/>
      <c r="O89"/>
      <c r="P89" s="736"/>
      <c r="Q89" s="736"/>
      <c r="R89" s="2"/>
    </row>
    <row r="90" spans="1:41" ht="21.95" customHeight="1" x14ac:dyDescent="0.25"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41" ht="21.95" customHeight="1" x14ac:dyDescent="0.25"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41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41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41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41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41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2735" priority="602">
      <formula>$O1=0</formula>
    </cfRule>
    <cfRule type="dataBar" priority="9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734" priority="558">
      <formula>$H2=0</formula>
    </cfRule>
  </conditionalFormatting>
  <conditionalFormatting sqref="K105:K200">
    <cfRule type="expression" dxfId="2733" priority="559">
      <formula>$J105=0</formula>
    </cfRule>
  </conditionalFormatting>
  <conditionalFormatting sqref="K105:K458">
    <cfRule type="expression" dxfId="2732" priority="600">
      <formula>$J105&lt;0</formula>
    </cfRule>
  </conditionalFormatting>
  <conditionalFormatting sqref="E59">
    <cfRule type="expression" dxfId="2731" priority="529">
      <formula>$H59=0</formula>
    </cfRule>
  </conditionalFormatting>
  <conditionalFormatting sqref="E5">
    <cfRule type="expression" dxfId="2730" priority="507">
      <formula>$H5=0</formula>
    </cfRule>
  </conditionalFormatting>
  <conditionalFormatting sqref="E60">
    <cfRule type="expression" dxfId="2729" priority="485">
      <formula>$H60=0</formula>
    </cfRule>
  </conditionalFormatting>
  <conditionalFormatting sqref="E62">
    <cfRule type="expression" dxfId="2728" priority="474">
      <formula>$H62=0</formula>
    </cfRule>
  </conditionalFormatting>
  <conditionalFormatting sqref="E61">
    <cfRule type="expression" dxfId="2727" priority="463">
      <formula>$H61=0</formula>
    </cfRule>
  </conditionalFormatting>
  <conditionalFormatting sqref="E8">
    <cfRule type="expression" dxfId="2726" priority="448">
      <formula>$H8=0</formula>
    </cfRule>
  </conditionalFormatting>
  <conditionalFormatting sqref="E63">
    <cfRule type="expression" dxfId="2725" priority="438">
      <formula>$H63=0</formula>
    </cfRule>
  </conditionalFormatting>
  <conditionalFormatting sqref="E20">
    <cfRule type="expression" dxfId="2724" priority="428">
      <formula>$H20=0</formula>
    </cfRule>
  </conditionalFormatting>
  <conditionalFormatting sqref="E64">
    <cfRule type="expression" dxfId="2723" priority="419">
      <formula>$H64=0</formula>
    </cfRule>
  </conditionalFormatting>
  <conditionalFormatting sqref="E65">
    <cfRule type="expression" dxfId="2722" priority="412">
      <formula>$H65=0</formula>
    </cfRule>
  </conditionalFormatting>
  <conditionalFormatting sqref="E11">
    <cfRule type="expression" dxfId="2721" priority="403">
      <formula>$H11=0</formula>
    </cfRule>
  </conditionalFormatting>
  <conditionalFormatting sqref="E9">
    <cfRule type="expression" dxfId="2720" priority="396">
      <formula>$H9=0</formula>
    </cfRule>
  </conditionalFormatting>
  <conditionalFormatting sqref="E66">
    <cfRule type="expression" dxfId="2719" priority="387">
      <formula>$H66=0</formula>
    </cfRule>
  </conditionalFormatting>
  <conditionalFormatting sqref="E10">
    <cfRule type="expression" dxfId="2718" priority="378">
      <formula>$H10=0</formula>
    </cfRule>
  </conditionalFormatting>
  <conditionalFormatting sqref="E26:E28 E30 E45:E49 E36:E43">
    <cfRule type="expression" dxfId="2717" priority="374">
      <formula>$H26=0</formula>
    </cfRule>
  </conditionalFormatting>
  <conditionalFormatting sqref="E29">
    <cfRule type="expression" dxfId="2716" priority="373">
      <formula>$H29=0</formula>
    </cfRule>
  </conditionalFormatting>
  <conditionalFormatting sqref="E31">
    <cfRule type="expression" dxfId="2715" priority="372">
      <formula>$H31=0</formula>
    </cfRule>
  </conditionalFormatting>
  <conditionalFormatting sqref="E32">
    <cfRule type="expression" dxfId="2714" priority="371">
      <formula>$H32=0</formula>
    </cfRule>
  </conditionalFormatting>
  <conditionalFormatting sqref="E44">
    <cfRule type="expression" dxfId="2713" priority="370">
      <formula>$H44=0</formula>
    </cfRule>
  </conditionalFormatting>
  <conditionalFormatting sqref="E35">
    <cfRule type="expression" dxfId="2712" priority="369">
      <formula>$H35=0</formula>
    </cfRule>
  </conditionalFormatting>
  <conditionalFormatting sqref="E33">
    <cfRule type="expression" dxfId="2711" priority="368">
      <formula>$H33=0</formula>
    </cfRule>
  </conditionalFormatting>
  <conditionalFormatting sqref="E34">
    <cfRule type="expression" dxfId="2710" priority="367">
      <formula>$H34=0</formula>
    </cfRule>
  </conditionalFormatting>
  <conditionalFormatting sqref="E67">
    <cfRule type="expression" dxfId="2709" priority="363">
      <formula>$H67=0</formula>
    </cfRule>
  </conditionalFormatting>
  <conditionalFormatting sqref="E69:E70">
    <cfRule type="expression" dxfId="2708" priority="356">
      <formula>$H69=0</formula>
    </cfRule>
  </conditionalFormatting>
  <conditionalFormatting sqref="E68">
    <cfRule type="expression" dxfId="2707" priority="349">
      <formula>$H68=0</formula>
    </cfRule>
  </conditionalFormatting>
  <conditionalFormatting sqref="E69:E70">
    <cfRule type="expression" dxfId="2706" priority="341">
      <formula>$H69=0</formula>
    </cfRule>
  </conditionalFormatting>
  <conditionalFormatting sqref="E71">
    <cfRule type="expression" dxfId="2705" priority="334">
      <formula>$H71=0</formula>
    </cfRule>
  </conditionalFormatting>
  <conditionalFormatting sqref="E72">
    <cfRule type="expression" dxfId="2704" priority="311">
      <formula>$H72=0</formula>
    </cfRule>
  </conditionalFormatting>
  <conditionalFormatting sqref="E72">
    <cfRule type="expression" dxfId="2703" priority="303">
      <formula>$H72=0</formula>
    </cfRule>
  </conditionalFormatting>
  <conditionalFormatting sqref="E74">
    <cfRule type="expression" dxfId="2702" priority="296">
      <formula>$H74=0</formula>
    </cfRule>
  </conditionalFormatting>
  <conditionalFormatting sqref="E73">
    <cfRule type="expression" dxfId="2701" priority="289">
      <formula>$H73=0</formula>
    </cfRule>
  </conditionalFormatting>
  <conditionalFormatting sqref="E75">
    <cfRule type="expression" dxfId="2700" priority="272">
      <formula>$H75=0</formula>
    </cfRule>
  </conditionalFormatting>
  <conditionalFormatting sqref="E7">
    <cfRule type="expression" dxfId="2699" priority="264">
      <formula>$H7=0</formula>
    </cfRule>
  </conditionalFormatting>
  <conditionalFormatting sqref="P105:P1048576">
    <cfRule type="dataBar" priority="2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698" priority="248">
      <formula>$H76=0</formula>
    </cfRule>
  </conditionalFormatting>
  <conditionalFormatting sqref="E77">
    <cfRule type="expression" dxfId="2697" priority="235">
      <formula>$H77=0</formula>
    </cfRule>
  </conditionalFormatting>
  <conditionalFormatting sqref="E78">
    <cfRule type="expression" dxfId="2696" priority="221">
      <formula>$H78=0</formula>
    </cfRule>
  </conditionalFormatting>
  <conditionalFormatting sqref="P105:P1048576 P1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695" priority="209">
      <formula>$H79=0</formula>
    </cfRule>
  </conditionalFormatting>
  <conditionalFormatting sqref="E80">
    <cfRule type="expression" dxfId="2694" priority="199">
      <formula>$H80=0</formula>
    </cfRule>
  </conditionalFormatting>
  <conditionalFormatting sqref="E81">
    <cfRule type="expression" dxfId="2693" priority="189">
      <formula>$H81=0</formula>
    </cfRule>
  </conditionalFormatting>
  <conditionalFormatting sqref="E82">
    <cfRule type="expression" dxfId="2692" priority="179">
      <formula>$H82=0</formula>
    </cfRule>
  </conditionalFormatting>
  <conditionalFormatting sqref="E83">
    <cfRule type="expression" dxfId="2691" priority="169">
      <formula>$H83=0</formula>
    </cfRule>
  </conditionalFormatting>
  <conditionalFormatting sqref="E84">
    <cfRule type="expression" dxfId="2690" priority="159">
      <formula>$H84=0</formula>
    </cfRule>
  </conditionalFormatting>
  <conditionalFormatting sqref="Q1"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689" priority="148">
      <formula>$H85=0</formula>
    </cfRule>
  </conditionalFormatting>
  <conditionalFormatting sqref="R105:R1048576">
    <cfRule type="expression" dxfId="2688" priority="980">
      <formula>$O105=0</formula>
    </cfRule>
    <cfRule type="dataBar" priority="9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687" priority="122">
      <formula>$O1=0</formula>
    </cfRule>
    <cfRule type="dataBar" priority="1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686" priority="120">
      <formula>$L2=0</formula>
    </cfRule>
  </conditionalFormatting>
  <conditionalFormatting sqref="Q1">
    <cfRule type="dataBar" priority="1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685" priority="113">
      <formula>K3&gt;0</formula>
    </cfRule>
    <cfRule type="expression" dxfId="2684" priority="114">
      <formula>K3&lt;0</formula>
    </cfRule>
  </conditionalFormatting>
  <conditionalFormatting sqref="K2 K4 K6 K8 K10 K12 K14 K16 K18 K20 K22 K24 K26 K28 K30">
    <cfRule type="expression" dxfId="2683" priority="111">
      <formula>K2&gt;0</formula>
    </cfRule>
    <cfRule type="expression" dxfId="2682" priority="112">
      <formula>K2&lt;0</formula>
    </cfRule>
  </conditionalFormatting>
  <conditionalFormatting sqref="K23 K25 K27 K29">
    <cfRule type="expression" dxfId="2681" priority="109">
      <formula>K23&gt;0</formula>
    </cfRule>
    <cfRule type="expression" dxfId="2680" priority="110">
      <formula>K23&lt;0</formula>
    </cfRule>
  </conditionalFormatting>
  <conditionalFormatting sqref="K31 K33 K40 K35 K42 K37:K38">
    <cfRule type="expression" dxfId="2679" priority="107">
      <formula>K31&gt;0</formula>
    </cfRule>
    <cfRule type="expression" dxfId="2678" priority="108">
      <formula>K31&lt;0</formula>
    </cfRule>
  </conditionalFormatting>
  <conditionalFormatting sqref="K32 K39 K34 K41 K36 K43">
    <cfRule type="expression" dxfId="2677" priority="105">
      <formula>K32&gt;0</formula>
    </cfRule>
    <cfRule type="expression" dxfId="2676" priority="106">
      <formula>K32&lt;0</formula>
    </cfRule>
  </conditionalFormatting>
  <conditionalFormatting sqref="K45 K47 K49 K51 K53">
    <cfRule type="expression" dxfId="2675" priority="103">
      <formula>K45&gt;0</formula>
    </cfRule>
    <cfRule type="expression" dxfId="2674" priority="104">
      <formula>K45&lt;0</formula>
    </cfRule>
  </conditionalFormatting>
  <conditionalFormatting sqref="K46 K48 K50 K52">
    <cfRule type="expression" dxfId="2673" priority="101">
      <formula>K46&gt;0</formula>
    </cfRule>
    <cfRule type="expression" dxfId="2672" priority="102">
      <formula>K46&lt;0</formula>
    </cfRule>
  </conditionalFormatting>
  <conditionalFormatting sqref="K54 K56 K58 K60">
    <cfRule type="expression" dxfId="2671" priority="99">
      <formula>K54&gt;0</formula>
    </cfRule>
    <cfRule type="expression" dxfId="2670" priority="100">
      <formula>K54&lt;0</formula>
    </cfRule>
  </conditionalFormatting>
  <conditionalFormatting sqref="K55 K57 K59">
    <cfRule type="expression" dxfId="2669" priority="97">
      <formula>K55&gt;0</formula>
    </cfRule>
    <cfRule type="expression" dxfId="2668" priority="98">
      <formula>K55&lt;0</formula>
    </cfRule>
  </conditionalFormatting>
  <conditionalFormatting sqref="K68 K70 K72 K74">
    <cfRule type="expression" dxfId="2667" priority="95">
      <formula>K68&gt;0</formula>
    </cfRule>
    <cfRule type="expression" dxfId="2666" priority="96">
      <formula>K68&lt;0</formula>
    </cfRule>
  </conditionalFormatting>
  <conditionalFormatting sqref="K69 K71 K73">
    <cfRule type="expression" dxfId="2665" priority="93">
      <formula>K69&gt;0</formula>
    </cfRule>
    <cfRule type="expression" dxfId="2664" priority="94">
      <formula>K69&lt;0</formula>
    </cfRule>
  </conditionalFormatting>
  <conditionalFormatting sqref="K75 K77 K79 K81 K83">
    <cfRule type="expression" dxfId="2663" priority="91">
      <formula>K75&gt;0</formula>
    </cfRule>
    <cfRule type="expression" dxfId="2662" priority="92">
      <formula>K75&lt;0</formula>
    </cfRule>
  </conditionalFormatting>
  <conditionalFormatting sqref="K76 K78 K80 K82">
    <cfRule type="expression" dxfId="2661" priority="89">
      <formula>K76&gt;0</formula>
    </cfRule>
    <cfRule type="expression" dxfId="2660" priority="90">
      <formula>K76&lt;0</formula>
    </cfRule>
  </conditionalFormatting>
  <conditionalFormatting sqref="K82 K84 K88 K90">
    <cfRule type="expression" dxfId="2659" priority="87">
      <formula>K82&gt;0</formula>
    </cfRule>
    <cfRule type="expression" dxfId="2658" priority="88">
      <formula>K82&lt;0</formula>
    </cfRule>
  </conditionalFormatting>
  <conditionalFormatting sqref="K83 K85 K87 K89">
    <cfRule type="expression" dxfId="2657" priority="85">
      <formula>K83&gt;0</formula>
    </cfRule>
    <cfRule type="expression" dxfId="2656" priority="86">
      <formula>K83&lt;0</formula>
    </cfRule>
  </conditionalFormatting>
  <conditionalFormatting sqref="M105:M200">
    <cfRule type="expression" dxfId="2655" priority="83">
      <formula>$J105=0</formula>
    </cfRule>
  </conditionalFormatting>
  <conditionalFormatting sqref="M105:M458">
    <cfRule type="expression" dxfId="2654" priority="84">
      <formula>$J105&lt;0</formula>
    </cfRule>
  </conditionalFormatting>
  <conditionalFormatting sqref="M3 M5 M7 M9 M11 M13 M15 M17 M19 M21">
    <cfRule type="expression" dxfId="2653" priority="81">
      <formula>M3&gt;0</formula>
    </cfRule>
    <cfRule type="expression" dxfId="2652" priority="82">
      <formula>M3&lt;0</formula>
    </cfRule>
  </conditionalFormatting>
  <conditionalFormatting sqref="M2 M4 M6 M8 M10 M12 M14 M16 M18 M20 M22 M24 M26 M28 M30">
    <cfRule type="expression" dxfId="2651" priority="79">
      <formula>M2&gt;0</formula>
    </cfRule>
    <cfRule type="expression" dxfId="2650" priority="80">
      <formula>M2&lt;0</formula>
    </cfRule>
  </conditionalFormatting>
  <conditionalFormatting sqref="M23 M25 M27 M29">
    <cfRule type="expression" dxfId="2649" priority="77">
      <formula>M23&gt;0</formula>
    </cfRule>
    <cfRule type="expression" dxfId="2648" priority="78">
      <formula>M23&lt;0</formula>
    </cfRule>
  </conditionalFormatting>
  <conditionalFormatting sqref="M31 M33 M40 M35 M42 M37:M38">
    <cfRule type="expression" dxfId="2647" priority="75">
      <formula>M31&gt;0</formula>
    </cfRule>
    <cfRule type="expression" dxfId="2646" priority="76">
      <formula>M31&lt;0</formula>
    </cfRule>
  </conditionalFormatting>
  <conditionalFormatting sqref="M32 M39 M34 M41 M36 M43">
    <cfRule type="expression" dxfId="2645" priority="73">
      <formula>M32&gt;0</formula>
    </cfRule>
    <cfRule type="expression" dxfId="2644" priority="74">
      <formula>M32&lt;0</formula>
    </cfRule>
  </conditionalFormatting>
  <conditionalFormatting sqref="M45 M47 M49 M51 M53">
    <cfRule type="expression" dxfId="2643" priority="71">
      <formula>M45&gt;0</formula>
    </cfRule>
    <cfRule type="expression" dxfId="2642" priority="72">
      <formula>M45&lt;0</formula>
    </cfRule>
  </conditionalFormatting>
  <conditionalFormatting sqref="M46 M48 M50 M52">
    <cfRule type="expression" dxfId="2641" priority="69">
      <formula>M46&gt;0</formula>
    </cfRule>
    <cfRule type="expression" dxfId="2640" priority="70">
      <formula>M46&lt;0</formula>
    </cfRule>
  </conditionalFormatting>
  <conditionalFormatting sqref="M54 M56 M58 M60">
    <cfRule type="expression" dxfId="2639" priority="67">
      <formula>M54&gt;0</formula>
    </cfRule>
    <cfRule type="expression" dxfId="2638" priority="68">
      <formula>M54&lt;0</formula>
    </cfRule>
  </conditionalFormatting>
  <conditionalFormatting sqref="M55 M57 M59 M61">
    <cfRule type="expression" dxfId="2637" priority="65">
      <formula>M55&gt;0</formula>
    </cfRule>
    <cfRule type="expression" dxfId="2636" priority="66">
      <formula>M55&lt;0</formula>
    </cfRule>
  </conditionalFormatting>
  <conditionalFormatting sqref="M68 M70 M72 M74">
    <cfRule type="expression" dxfId="2635" priority="63">
      <formula>M68&gt;0</formula>
    </cfRule>
    <cfRule type="expression" dxfId="2634" priority="64">
      <formula>M68&lt;0</formula>
    </cfRule>
  </conditionalFormatting>
  <conditionalFormatting sqref="M67 M69 M71 M73">
    <cfRule type="expression" dxfId="2633" priority="61">
      <formula>M67&gt;0</formula>
    </cfRule>
    <cfRule type="expression" dxfId="2632" priority="62">
      <formula>M67&lt;0</formula>
    </cfRule>
  </conditionalFormatting>
  <conditionalFormatting sqref="M75 M77 M79 M81 M83">
    <cfRule type="expression" dxfId="2631" priority="59">
      <formula>M75&gt;0</formula>
    </cfRule>
    <cfRule type="expression" dxfId="2630" priority="60">
      <formula>M75&lt;0</formula>
    </cfRule>
  </conditionalFormatting>
  <conditionalFormatting sqref="M76 M78 M80 M82">
    <cfRule type="expression" dxfId="2629" priority="57">
      <formula>M76&gt;0</formula>
    </cfRule>
    <cfRule type="expression" dxfId="2628" priority="58">
      <formula>M76&lt;0</formula>
    </cfRule>
  </conditionalFormatting>
  <conditionalFormatting sqref="M82 M84 M88 M90">
    <cfRule type="expression" dxfId="2627" priority="55">
      <formula>M82&gt;0</formula>
    </cfRule>
    <cfRule type="expression" dxfId="2626" priority="56">
      <formula>M82&lt;0</formula>
    </cfRule>
  </conditionalFormatting>
  <conditionalFormatting sqref="M83 M85 M87 M89">
    <cfRule type="expression" dxfId="2625" priority="53">
      <formula>M83&gt;0</formula>
    </cfRule>
    <cfRule type="expression" dxfId="2624" priority="54">
      <formula>M83&lt;0</formula>
    </cfRule>
  </conditionalFormatting>
  <conditionalFormatting sqref="L105:L200">
    <cfRule type="expression" dxfId="2623" priority="51">
      <formula>$J105=0</formula>
    </cfRule>
  </conditionalFormatting>
  <conditionalFormatting sqref="L105:L458">
    <cfRule type="expression" dxfId="2622" priority="52">
      <formula>$J105&lt;0</formula>
    </cfRule>
  </conditionalFormatting>
  <conditionalFormatting sqref="L3 L5 L7 L9 L11 L13 L15 L17 L19 L21">
    <cfRule type="expression" dxfId="2621" priority="49">
      <formula>L3&gt;0</formula>
    </cfRule>
    <cfRule type="expression" dxfId="2620" priority="50">
      <formula>L3&lt;0</formula>
    </cfRule>
  </conditionalFormatting>
  <conditionalFormatting sqref="L2 L4 L6 L8 L10 L12 L14 L16 L18 L20 L22 L24 L26 L28 L30">
    <cfRule type="expression" dxfId="2619" priority="47">
      <formula>L2&gt;0</formula>
    </cfRule>
    <cfRule type="expression" dxfId="2618" priority="48">
      <formula>L2&lt;0</formula>
    </cfRule>
  </conditionalFormatting>
  <conditionalFormatting sqref="L23 L25 L27 L29">
    <cfRule type="expression" dxfId="2617" priority="45">
      <formula>L23&gt;0</formula>
    </cfRule>
    <cfRule type="expression" dxfId="2616" priority="46">
      <formula>L23&lt;0</formula>
    </cfRule>
  </conditionalFormatting>
  <conditionalFormatting sqref="L31 L33 L40 L35 L42 L37:L38">
    <cfRule type="expression" dxfId="2615" priority="43">
      <formula>L31&gt;0</formula>
    </cfRule>
    <cfRule type="expression" dxfId="2614" priority="44">
      <formula>L31&lt;0</formula>
    </cfRule>
  </conditionalFormatting>
  <conditionalFormatting sqref="L32 L39 L34 L41 L36 L43">
    <cfRule type="expression" dxfId="2613" priority="41">
      <formula>L32&gt;0</formula>
    </cfRule>
    <cfRule type="expression" dxfId="2612" priority="42">
      <formula>L32&lt;0</formula>
    </cfRule>
  </conditionalFormatting>
  <conditionalFormatting sqref="L45 L47 L49 L51 L53">
    <cfRule type="expression" dxfId="2611" priority="39">
      <formula>L45&gt;0</formula>
    </cfRule>
    <cfRule type="expression" dxfId="2610" priority="40">
      <formula>L45&lt;0</formula>
    </cfRule>
  </conditionalFormatting>
  <conditionalFormatting sqref="L46 L48 L50 L52">
    <cfRule type="expression" dxfId="2609" priority="37">
      <formula>L46&gt;0</formula>
    </cfRule>
    <cfRule type="expression" dxfId="2608" priority="38">
      <formula>L46&lt;0</formula>
    </cfRule>
  </conditionalFormatting>
  <conditionalFormatting sqref="L54 L56 L58 L60 L62">
    <cfRule type="expression" dxfId="2607" priority="35">
      <formula>L54&gt;0</formula>
    </cfRule>
    <cfRule type="expression" dxfId="2606" priority="36">
      <formula>L54&lt;0</formula>
    </cfRule>
  </conditionalFormatting>
  <conditionalFormatting sqref="L55 L57 L59 L61">
    <cfRule type="expression" dxfId="2605" priority="33">
      <formula>L55&gt;0</formula>
    </cfRule>
    <cfRule type="expression" dxfId="2604" priority="34">
      <formula>L55&lt;0</formula>
    </cfRule>
  </conditionalFormatting>
  <conditionalFormatting sqref="L66 L68 L70 L72 L74">
    <cfRule type="expression" dxfId="2603" priority="31">
      <formula>L66&gt;0</formula>
    </cfRule>
    <cfRule type="expression" dxfId="2602" priority="32">
      <formula>L66&lt;0</formula>
    </cfRule>
  </conditionalFormatting>
  <conditionalFormatting sqref="L58:L79">
    <cfRule type="expression" dxfId="2601" priority="29">
      <formula>L58&gt;0</formula>
    </cfRule>
    <cfRule type="expression" dxfId="2600" priority="30">
      <formula>L58&lt;0</formula>
    </cfRule>
  </conditionalFormatting>
  <conditionalFormatting sqref="L75 L77 L79 L81 L83">
    <cfRule type="expression" dxfId="2599" priority="27">
      <formula>L75&gt;0</formula>
    </cfRule>
    <cfRule type="expression" dxfId="2598" priority="28">
      <formula>L75&lt;0</formula>
    </cfRule>
  </conditionalFormatting>
  <conditionalFormatting sqref="L76 L78 L80 L82">
    <cfRule type="expression" dxfId="2597" priority="25">
      <formula>L76&gt;0</formula>
    </cfRule>
    <cfRule type="expression" dxfId="2596" priority="26">
      <formula>L76&lt;0</formula>
    </cfRule>
  </conditionalFormatting>
  <conditionalFormatting sqref="L82 L84 L88 L90">
    <cfRule type="expression" dxfId="2595" priority="23">
      <formula>L82&gt;0</formula>
    </cfRule>
    <cfRule type="expression" dxfId="2594" priority="24">
      <formula>L82&lt;0</formula>
    </cfRule>
  </conditionalFormatting>
  <conditionalFormatting sqref="L83 L85 L87 L89">
    <cfRule type="expression" dxfId="2593" priority="21">
      <formula>L83&gt;0</formula>
    </cfRule>
    <cfRule type="expression" dxfId="2592" priority="22">
      <formula>L83&lt;0</formula>
    </cfRule>
  </conditionalFormatting>
  <conditionalFormatting sqref="I1:I85 I87:I1048576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591" priority="18">
      <formula>M44&gt;0</formula>
    </cfRule>
    <cfRule type="expression" dxfId="2590" priority="19">
      <formula>M44&lt;0</formula>
    </cfRule>
  </conditionalFormatting>
  <conditionalFormatting sqref="M62:M66">
    <cfRule type="expression" dxfId="2589" priority="16">
      <formula>M62&gt;0</formula>
    </cfRule>
    <cfRule type="expression" dxfId="2588" priority="17">
      <formula>M62&lt;0</formula>
    </cfRule>
  </conditionalFormatting>
  <conditionalFormatting sqref="E86">
    <cfRule type="expression" dxfId="2587" priority="15">
      <formula>$H86=0</formula>
    </cfRule>
  </conditionalFormatting>
  <conditionalFormatting sqref="K86">
    <cfRule type="expression" dxfId="2586" priority="13">
      <formula>K86&gt;0</formula>
    </cfRule>
    <cfRule type="expression" dxfId="2585" priority="14">
      <formula>K86&lt;0</formula>
    </cfRule>
  </conditionalFormatting>
  <conditionalFormatting sqref="M86">
    <cfRule type="expression" dxfId="2584" priority="11">
      <formula>M86&gt;0</formula>
    </cfRule>
    <cfRule type="expression" dxfId="2583" priority="12">
      <formula>M86&lt;0</formula>
    </cfRule>
  </conditionalFormatting>
  <conditionalFormatting sqref="L86">
    <cfRule type="expression" dxfId="2582" priority="9">
      <formula>L86&gt;0</formula>
    </cfRule>
    <cfRule type="expression" dxfId="2581" priority="10">
      <formula>L86&lt;0</formula>
    </cfRule>
  </conditionalFormatting>
  <conditionalFormatting sqref="I86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{4DB59BBA-234E-415C-A476-C5F753F748D3}</x14:id>
        </ext>
      </extLst>
    </cfRule>
  </conditionalFormatting>
  <conditionalFormatting sqref="J1:J85 J87:J1048576">
    <cfRule type="dataBar" priority="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86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{3FE2880F-939E-47E8-938F-7673014E587C}</x14:id>
        </ext>
      </extLst>
    </cfRule>
  </conditionalFormatting>
  <conditionalFormatting sqref="J1:J1048576">
    <cfRule type="dataBar" priority="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2580" priority="3">
      <formula>K61&gt;0</formula>
    </cfRule>
    <cfRule type="expression" dxfId="2579" priority="4">
      <formula>K61&lt;0</formula>
    </cfRule>
  </conditionalFormatting>
  <conditionalFormatting sqref="K44">
    <cfRule type="expression" dxfId="2578" priority="1">
      <formula>K44&gt;0</formula>
    </cfRule>
    <cfRule type="expression" dxfId="2577" priority="2">
      <formula>K44&lt;0</formula>
    </cfRule>
  </conditionalFormatting>
  <hyperlinks>
    <hyperlink ref="E24" location="BIIB!A1" display="BIIB"/>
    <hyperlink ref="E25" location="MYL!A1" display="MYL"/>
    <hyperlink ref="E26" location="SIG!A1" display="SIG"/>
    <hyperlink ref="E27" location="AAPL!A1" display="AAPL"/>
    <hyperlink ref="E28" location="AXP!A1" display="AXP"/>
    <hyperlink ref="E29" location="DG!A1" display="DG"/>
    <hyperlink ref="E30" location="PINC!A1" display="PINC"/>
    <hyperlink ref="E31" location="FOXA!A1" display="FOXA"/>
    <hyperlink ref="E32" location="AOBC!A1" display="AOBC"/>
    <hyperlink ref="E33" location="LUV!A1" display="LUV"/>
    <hyperlink ref="E34" location="CCE!A1" display="CCE"/>
    <hyperlink ref="E35" location="BMY!A1" display="BMY"/>
    <hyperlink ref="E36" location="GPS!A1" display="GPS"/>
    <hyperlink ref="E37" location="AKAM!A1" display="AKAM"/>
    <hyperlink ref="E38" location="ARNC!A1" display="ARNC"/>
    <hyperlink ref="E16" location="IEMG!A1" display="IEMG"/>
    <hyperlink ref="E39" location="CVS!A1" display="CVS"/>
    <hyperlink ref="E40" location="ADBE!A1" display="ADBE"/>
    <hyperlink ref="E3" location="MRO!A1" display="MRO"/>
    <hyperlink ref="E20" location="GE!A1" display="GE"/>
    <hyperlink ref="E8" location="XRAY!A1" display="XRAY"/>
    <hyperlink ref="E17" location="XLP!A1" display="XLP"/>
    <hyperlink ref="E2" location="KR!A1" display="KR"/>
    <hyperlink ref="E41" location="F!A1" display="F"/>
    <hyperlink ref="E15" location="JNJ!A1" display="JNJ"/>
    <hyperlink ref="E13" location="ULTA!A1" display="ULTA"/>
    <hyperlink ref="E42" location="FRC!A1" display="FRC"/>
    <hyperlink ref="E43" location="AAP!A1" display="AAP"/>
    <hyperlink ref="E11" location="CMCSA!A1" display="CMCSA"/>
    <hyperlink ref="E44" location="XEC!A1" display="XEC"/>
    <hyperlink ref="E9" location="MO!A1" display="MO"/>
    <hyperlink ref="E22" location="T!A1" display="T"/>
    <hyperlink ref="E19" location="COST!A1" display="COST"/>
    <hyperlink ref="E45" location="CPN!A1" display="CPN"/>
    <hyperlink ref="E46" location="EW!A1" display="EW"/>
    <hyperlink ref="E47" location="TJX!A1" display="TJX"/>
    <hyperlink ref="E23" location="QQQ!A1" display="QQQ"/>
    <hyperlink ref="E5" location="WBA!A1" display="WBA"/>
    <hyperlink ref="E48" location="AZO!A1" display="AZO"/>
    <hyperlink ref="E49" location="FL!A1" display="FL"/>
    <hyperlink ref="E50" location="MLM!A1" display="MLM"/>
    <hyperlink ref="E51" location="KHC!A1" display="KHC"/>
    <hyperlink ref="E52" location="KBWY!A1" display="KBWY"/>
    <hyperlink ref="E4" location="AYI!A1" display="AYI"/>
    <hyperlink ref="E53" location="DIA!A1" display="DIA"/>
    <hyperlink ref="E18" location="ICE!A1" display="ICE"/>
    <hyperlink ref="E54" location="NKE!A1" display="NKE"/>
    <hyperlink ref="E10" location="MOS!A1" display="MOS"/>
    <hyperlink ref="E55" location="VGK!A1" display="VGK"/>
    <hyperlink ref="E56" location="CMG!A1" display="CMG"/>
    <hyperlink ref="E21" location="HAS!A1" display="HAS"/>
    <hyperlink ref="E57" location="HSIC!A1" display="HSIC"/>
    <hyperlink ref="E7" location="PDCO!A1" display="PDCO"/>
    <hyperlink ref="E58" location="MU!A1" display="MU"/>
    <hyperlink ref="E59" location="IP!A1" display="IP"/>
    <hyperlink ref="E60" location="INTC!A1" display="INTC"/>
    <hyperlink ref="E61" location="HES!A1" display="HES"/>
    <hyperlink ref="E62" location="UNP!A1" display="UNP"/>
    <hyperlink ref="E63" location="NCLH!A1" display="NCLH"/>
    <hyperlink ref="E64" location="SPY!A1" display="SPY"/>
    <hyperlink ref="E65" location="SWKS!A1" display="SWKS"/>
    <hyperlink ref="E66" location="CNI!A1" display="CNI"/>
    <hyperlink ref="E67" location="WFC!A1" display="WFC"/>
    <hyperlink ref="E68" location="AA!A1" display="AA"/>
    <hyperlink ref="E69" location="CF!A1" display="CF"/>
    <hyperlink ref="E70" location="TGT!A1" display="TGT"/>
    <hyperlink ref="E12" location="NWL!A1" display="NWL"/>
    <hyperlink ref="E71" location="KORS!A1" display="KORS"/>
    <hyperlink ref="E72" location="ALL!A1" display="ALL"/>
    <hyperlink ref="E73" location="NSC!A1" display="NSC"/>
    <hyperlink ref="E74" location="AVGO!A1" display="AVGO"/>
    <hyperlink ref="E75" location="UAL!A1" display="UAL"/>
    <hyperlink ref="E76" location="CAH!A1" display="CAH"/>
    <hyperlink ref="E6" location="DAL!A1" display="DAL"/>
    <hyperlink ref="E77" location="TEVA!A1" display="TEVA"/>
    <hyperlink ref="E78" location="DIS!A1" display="DIS"/>
    <hyperlink ref="E79" location="FTR!A1" display="FTR"/>
    <hyperlink ref="E80" location="GILD!A1" display="GILD"/>
    <hyperlink ref="E81" location="WWD!A1" display="WWD"/>
    <hyperlink ref="E14" location="GIS!A1" display="GIS"/>
    <hyperlink ref="E82" location="GM!A1" display="GM"/>
    <hyperlink ref="E83" location="TMO!A1" display="TMO"/>
    <hyperlink ref="E84" location="TKR!A1" display="TKR"/>
    <hyperlink ref="E85" location="UTX!A1" display="UTX"/>
    <hyperlink ref="E8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I87:I1048576</xm:sqref>
        </x14:conditionalFormatting>
        <x14:conditionalFormatting xmlns:xm="http://schemas.microsoft.com/office/excel/2006/main">
          <x14:cfRule type="dataBar" id="{4DB59BBA-234E-415C-A476-C5F753F748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J87:J1048576</xm:sqref>
        </x14:conditionalFormatting>
        <x14:conditionalFormatting xmlns:xm="http://schemas.microsoft.com/office/excel/2006/main">
          <x14:cfRule type="dataBar" id="{3FE2880F-939E-47E8-938F-7673014E58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E1" workbookViewId="0">
      <pane ySplit="1" topLeftCell="A250" activePane="bottomLeft" state="frozen"/>
      <selection activeCell="E5" sqref="E5"/>
      <selection pane="bottomLeft" activeCell="S297" sqref="S297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50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50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50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50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381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50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50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221</v>
      </c>
      <c r="R251" s="429"/>
      <c r="S251" s="410" t="s">
        <v>216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253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1125.9400000000005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97457.419666668196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96269.679666668264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96269.68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-3.3333172905258834E-4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/>
      <c r="T297" s="408"/>
    </row>
    <row r="298" spans="1:20" ht="18" customHeight="1" x14ac:dyDescent="0.25">
      <c r="A298" s="483"/>
      <c r="Q298" s="347"/>
      <c r="R298" s="429"/>
      <c r="S298" s="448"/>
      <c r="T298" s="408"/>
    </row>
    <row r="299" spans="1:20" ht="18" customHeight="1" x14ac:dyDescent="0.25">
      <c r="A299" s="482"/>
      <c r="Q299" s="347"/>
      <c r="R299" s="429"/>
      <c r="S299" s="448"/>
      <c r="T299" s="408"/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1125.9400000000005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576" priority="7">
      <formula>#REF!&gt;0</formula>
    </cfRule>
    <cfRule type="expression" dxfId="2575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84"/>
  <sheetViews>
    <sheetView tabSelected="1" topLeftCell="G1" zoomScaleNormal="100" workbookViewId="0">
      <pane ySplit="1" topLeftCell="A664" activePane="bottomLeft" state="frozen"/>
      <selection pane="bottomLeft" activeCell="Y688" sqref="Y688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280</v>
      </c>
      <c r="H1" s="335" t="s">
        <v>279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775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214</v>
      </c>
      <c r="U1" s="337" t="s">
        <v>215</v>
      </c>
      <c r="V1" s="336" t="s">
        <v>219</v>
      </c>
      <c r="W1" s="336" t="s">
        <v>220</v>
      </c>
      <c r="X1" s="336" t="s">
        <v>952</v>
      </c>
      <c r="Y1" s="336" t="s">
        <v>951</v>
      </c>
      <c r="Z1" s="336" t="s">
        <v>928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96269.68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" si="176">(F362-F$2)/F$2</f>
        <v>0.1466838187638706</v>
      </c>
      <c r="I362" s="539">
        <v>324795.14</v>
      </c>
      <c r="J362" s="244">
        <v>300000</v>
      </c>
      <c r="K362" s="244">
        <f t="shared" ref="K362" si="177">I362-I361-J362+J361</f>
        <v>702.75</v>
      </c>
      <c r="L362" s="168">
        <f t="shared" si="155"/>
        <v>2.1683631633559798E-3</v>
      </c>
      <c r="M362" s="572">
        <f t="shared" ref="M362" si="178">I362-J362</f>
        <v>24795.140000000014</v>
      </c>
      <c r="N362" s="246">
        <f t="shared" ref="N362" si="179">M362/J362</f>
        <v>8.2650466666666714E-2</v>
      </c>
      <c r="O362" s="179">
        <f t="shared" si="159"/>
        <v>5.4887423545454575E-2</v>
      </c>
      <c r="P362" s="245" t="b">
        <f t="shared" ref="P362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" si="181">I362-R362</f>
        <v>45928.790000000037</v>
      </c>
      <c r="T362" s="244">
        <v>-28366</v>
      </c>
      <c r="U362" s="244">
        <f t="shared" ref="U362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ref="E363" si="183">(C363-$C$2)/$C$2</f>
        <v>0.12506421110709465</v>
      </c>
      <c r="F363" s="215">
        <v>5865.94</v>
      </c>
      <c r="G363" s="168">
        <f t="shared" si="174"/>
        <v>4.6877917024202662E-3</v>
      </c>
      <c r="H363" s="199">
        <f t="shared" ref="H363" si="184">(F363-F$2)/F$2</f>
        <v>0.15205923365477145</v>
      </c>
      <c r="I363" s="217">
        <v>327591.99</v>
      </c>
      <c r="J363" s="170">
        <v>300000</v>
      </c>
      <c r="K363" s="170">
        <f t="shared" ref="K363" si="185">I363-I362-J363+J362</f>
        <v>2796.8499999999767</v>
      </c>
      <c r="L363" s="168">
        <f t="shared" si="155"/>
        <v>8.6111202279688555E-3</v>
      </c>
      <c r="M363" s="178">
        <f t="shared" ref="M363" si="186">I363-J363</f>
        <v>27591.989999999991</v>
      </c>
      <c r="N363" s="180">
        <f t="shared" ref="N363" si="187">M363/J363</f>
        <v>9.1973299999999966E-2</v>
      </c>
      <c r="O363" s="179">
        <f t="shared" si="159"/>
        <v>6.0637631453068573E-2</v>
      </c>
      <c r="P363" s="178" t="b">
        <f t="shared" ref="P363" si="188">L363&gt;D363</f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ref="S363" si="189">I363-R363</f>
        <v>50375.089999999967</v>
      </c>
      <c r="T363" s="170">
        <v>-27825</v>
      </c>
      <c r="U363" s="170">
        <f t="shared" ref="U363" si="190">M363-T363</f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 t="shared" ref="D364:D367" si="191">(C364-C363)/C363</f>
        <v>-1.0822785345271986E-3</v>
      </c>
      <c r="E364" s="205">
        <f t="shared" ref="E364" si="192">(C364-$C$2)/$C$2</f>
        <v>0.12384657826144865</v>
      </c>
      <c r="F364" s="215">
        <v>5860.62</v>
      </c>
      <c r="G364" s="168">
        <f t="shared" si="174"/>
        <v>-9.069305175299627E-4</v>
      </c>
      <c r="H364" s="199">
        <f t="shared" ref="H364" si="193">(F364-F$2)/F$2</f>
        <v>0.15101439597776775</v>
      </c>
      <c r="I364" s="217">
        <v>323529.21999999997</v>
      </c>
      <c r="J364" s="170">
        <v>300000</v>
      </c>
      <c r="K364" s="170">
        <f t="shared" ref="K364" si="194">I364-I363-J364+J363</f>
        <v>-4062.7700000000186</v>
      </c>
      <c r="L364" s="168">
        <f t="shared" si="155"/>
        <v>-1.2401921060402053E-2</v>
      </c>
      <c r="M364" s="178">
        <f t="shared" ref="M364" si="195">I364-J364</f>
        <v>23529.219999999972</v>
      </c>
      <c r="N364" s="180">
        <f t="shared" ref="N364" si="196">M364/J364</f>
        <v>7.8430733333333238E-2</v>
      </c>
      <c r="O364" s="179">
        <f t="shared" si="159"/>
        <v>5.1615901531531463E-2</v>
      </c>
      <c r="P364" s="178" t="b">
        <f t="shared" ref="P364" si="197">L364&gt;D364</f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ref="S364" si="198">I364-R364</f>
        <v>40590.219999999972</v>
      </c>
      <c r="T364" s="170">
        <v>-27755</v>
      </c>
      <c r="U364" s="170">
        <f t="shared" ref="U364" si="199">M364-T364</f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 t="shared" si="191"/>
        <v>4.1899086684545658E-4</v>
      </c>
      <c r="E365" s="205">
        <f t="shared" ref="E365" si="200">(C365-$C$2)/$C$2</f>
        <v>0.12431745971347571</v>
      </c>
      <c r="F365" s="215">
        <v>5835.5</v>
      </c>
      <c r="G365" s="168">
        <f t="shared" si="174"/>
        <v>-4.2862359272568245E-3</v>
      </c>
      <c r="H365" s="199">
        <f t="shared" ref="H365" si="201">(F365-F$2)/F$2</f>
        <v>0.14608087672093803</v>
      </c>
      <c r="I365" s="217">
        <v>324343.32</v>
      </c>
      <c r="J365" s="170">
        <v>300000</v>
      </c>
      <c r="K365" s="170">
        <f t="shared" ref="K365" si="202">I365-I364-J365+J364</f>
        <v>814.10000000003492</v>
      </c>
      <c r="L365" s="168">
        <f t="shared" si="155"/>
        <v>2.5163105823951077E-3</v>
      </c>
      <c r="M365" s="178">
        <f t="shared" ref="M365" si="203">I365-J365</f>
        <v>24343.320000000007</v>
      </c>
      <c r="N365" s="180">
        <f t="shared" ref="N365" si="204">M365/J365</f>
        <v>8.1144400000000019E-2</v>
      </c>
      <c r="O365" s="179">
        <f t="shared" si="159"/>
        <v>5.3305741187050372E-2</v>
      </c>
      <c r="P365" s="178" t="b">
        <f t="shared" ref="P365" si="205">L365&gt;D365</f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ref="S365" si="206">I365-R365</f>
        <v>39006.22000000003</v>
      </c>
      <c r="T365" s="170">
        <v>-27553</v>
      </c>
      <c r="U365" s="170">
        <f t="shared" ref="U365" si="207">M365-T365</f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 t="shared" si="191"/>
        <v>1.4933518345383937E-3</v>
      </c>
      <c r="E366" s="205">
        <f t="shared" ref="E366" si="208">(C366-$C$2)/$C$2</f>
        <v>0.12599646125454239</v>
      </c>
      <c r="F366" s="215">
        <v>5845.3</v>
      </c>
      <c r="G366" s="168">
        <f t="shared" si="174"/>
        <v>1.6793762316854052E-3</v>
      </c>
      <c r="H366" s="199">
        <f t="shared" ref="H366" si="209">(F366-F$2)/F$2</f>
        <v>0.14800557770489237</v>
      </c>
      <c r="I366" s="217">
        <v>322787.92</v>
      </c>
      <c r="J366" s="170">
        <v>300000</v>
      </c>
      <c r="K366" s="170">
        <f t="shared" ref="K366" si="210">I366-I365-J366+J365</f>
        <v>-1555.4000000000233</v>
      </c>
      <c r="L366" s="168">
        <f t="shared" si="155"/>
        <v>-4.7955357921353929E-3</v>
      </c>
      <c r="M366" s="178">
        <f t="shared" ref="M366" si="211">I366-J366</f>
        <v>22787.919999999984</v>
      </c>
      <c r="N366" s="180">
        <f t="shared" ref="N366" si="212">M366/J366</f>
        <v>7.5959733333333279E-2</v>
      </c>
      <c r="O366" s="179">
        <f t="shared" si="159"/>
        <v>4.9810220107719891E-2</v>
      </c>
      <c r="P366" s="178" t="b">
        <f t="shared" ref="P366" si="213">L366&gt;D366</f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ref="S366" si="214">I366-R366</f>
        <v>41400.169999999984</v>
      </c>
      <c r="T366" s="170">
        <v>-27481</v>
      </c>
      <c r="U366" s="170">
        <f t="shared" ref="U366" si="215">M366-T366</f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 t="shared" si="191"/>
        <v>1.0180202252316332E-3</v>
      </c>
      <c r="E367" s="240">
        <f t="shared" ref="E367" si="216">(C367-$C$2)/$C$2</f>
        <v>0.12714274842563875</v>
      </c>
      <c r="F367" s="241">
        <v>5861.89</v>
      </c>
      <c r="G367" s="168">
        <f t="shared" si="174"/>
        <v>2.8381776812139918E-3</v>
      </c>
      <c r="H367" s="242">
        <f t="shared" ref="H367" si="217">(F367-F$2)/F$2</f>
        <v>0.15126382151344356</v>
      </c>
      <c r="I367" s="539">
        <v>323797.27</v>
      </c>
      <c r="J367" s="244">
        <v>300000</v>
      </c>
      <c r="K367" s="244">
        <f t="shared" ref="K367" si="218">I367-I366-J367+J366</f>
        <v>1009.3500000000349</v>
      </c>
      <c r="L367" s="168">
        <f t="shared" si="155"/>
        <v>3.126975755474477E-3</v>
      </c>
      <c r="M367" s="572">
        <f t="shared" ref="M367" si="219">I367-J367</f>
        <v>23797.270000000019</v>
      </c>
      <c r="N367" s="246">
        <f t="shared" ref="N367" si="220">M367/J367</f>
        <v>7.9324233333333397E-2</v>
      </c>
      <c r="O367" s="179">
        <f t="shared" si="159"/>
        <v>5.1737814687500043E-2</v>
      </c>
      <c r="P367" s="245" t="b">
        <f t="shared" ref="P367" si="221">L367&gt;D367</f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ref="S367" si="222">I367-R367</f>
        <v>32738.170000000042</v>
      </c>
      <c r="T367" s="244">
        <v>-27481</v>
      </c>
      <c r="U367" s="244">
        <f t="shared" ref="U367" si="223">M367-T367</f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 t="shared" ref="D368" si="224">(C368-C367)/C367</f>
        <v>-2.5783310475789123E-3</v>
      </c>
      <c r="E368" s="240">
        <f t="shared" ref="E368" si="225">(C368-$C$2)/$C$2</f>
        <v>0.1242366012823195</v>
      </c>
      <c r="F368" s="241">
        <v>5825.43</v>
      </c>
      <c r="G368" s="168">
        <f t="shared" ref="G368" si="226">(F368-F367)/F367</f>
        <v>-6.2198369467867934E-3</v>
      </c>
      <c r="H368" s="242">
        <f t="shared" ref="H368" si="227">(F368-F$2)/F$2</f>
        <v>0.14410314826089529</v>
      </c>
      <c r="I368" s="638">
        <v>320573.07</v>
      </c>
      <c r="J368" s="244">
        <v>300000</v>
      </c>
      <c r="K368" s="244">
        <f t="shared" ref="K368" si="228">I368-I367-J368+J367</f>
        <v>-3224.2000000000116</v>
      </c>
      <c r="L368" s="168">
        <f t="shared" si="155"/>
        <v>-9.9574650521297211E-3</v>
      </c>
      <c r="M368" s="405">
        <f t="shared" ref="M368" si="229">I368-J368</f>
        <v>20573.070000000007</v>
      </c>
      <c r="N368" s="246">
        <f t="shared" ref="N368" si="230">M368/J368</f>
        <v>6.8576900000000024E-2</v>
      </c>
      <c r="O368" s="179">
        <f t="shared" si="159"/>
        <v>4.4648329278074883E-2</v>
      </c>
      <c r="P368" s="245" t="b">
        <f t="shared" ref="P368" si="231">L368&gt;D368</f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ref="S368" si="232">I368-R368</f>
        <v>29512.97000000003</v>
      </c>
      <c r="T368" s="244">
        <v>-28947</v>
      </c>
      <c r="U368" s="244">
        <f t="shared" ref="U368" si="233">M368-T368</f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234">(C369-C368)/C368</f>
        <v>1.3673825117192197E-2</v>
      </c>
      <c r="E369" s="240">
        <f t="shared" ref="E369" si="235">(C369-$C$2)/$C$2</f>
        <v>0.13960921595860046</v>
      </c>
      <c r="F369" s="241">
        <v>5904.02</v>
      </c>
      <c r="G369" s="168">
        <f t="shared" ref="G369:G382" si="236">(F369-F368)/F368</f>
        <v>1.3490849602518637E-2</v>
      </c>
      <c r="H369" s="242">
        <f t="shared" ref="H369" si="237">(F369-F$2)/F$2</f>
        <v>0.1595380717638511</v>
      </c>
      <c r="I369" s="539">
        <v>325744.14</v>
      </c>
      <c r="J369" s="244">
        <v>300000</v>
      </c>
      <c r="K369" s="244">
        <f t="shared" ref="K369" si="238">I369-I368-J369+J368</f>
        <v>5171.070000000007</v>
      </c>
      <c r="L369" s="168">
        <f t="shared" si="155"/>
        <v>1.613070617566225E-2</v>
      </c>
      <c r="M369" s="572">
        <f t="shared" ref="M369" si="239">I369-J369</f>
        <v>25744.140000000014</v>
      </c>
      <c r="N369" s="246">
        <f t="shared" ref="N369" si="240">M369/J369</f>
        <v>8.5813800000000051E-2</v>
      </c>
      <c r="O369" s="179">
        <f t="shared" si="159"/>
        <v>5.5771335320284728E-2</v>
      </c>
      <c r="P369" s="245" t="b">
        <f t="shared" ref="P369" si="241">L369&gt;D369</f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ref="S369" si="242">I369-R369</f>
        <v>34181.090000000026</v>
      </c>
      <c r="T369" s="244">
        <v>-28845</v>
      </c>
      <c r="U369" s="244">
        <f t="shared" ref="U369" si="243">M369-T369</f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234"/>
        <v>-5.8598641045760208E-3</v>
      </c>
      <c r="E370" s="240">
        <f t="shared" ref="E370" si="244">(C370-$C$2)/$C$2</f>
        <v>0.13293126082076065</v>
      </c>
      <c r="F370" s="241">
        <v>5861.22</v>
      </c>
      <c r="G370" s="168">
        <f t="shared" si="236"/>
        <v>-7.2492979359826317E-3</v>
      </c>
      <c r="H370" s="242">
        <f t="shared" ref="H370" si="245">(F370-F$2)/F$2</f>
        <v>0.15113223481352014</v>
      </c>
      <c r="I370" s="539">
        <v>374005.77</v>
      </c>
      <c r="J370" s="244">
        <v>350000</v>
      </c>
      <c r="K370" s="244">
        <f t="shared" ref="K370" si="246">I370-I369-J370+J369</f>
        <v>-1738.3699999999953</v>
      </c>
      <c r="L370" s="168">
        <f t="shared" si="155"/>
        <v>-5.3366117345963471E-3</v>
      </c>
      <c r="M370" s="572">
        <f t="shared" ref="M370" si="247">I370-J370</f>
        <v>24005.770000000019</v>
      </c>
      <c r="N370" s="246">
        <f t="shared" ref="N370" si="248">M370/J370</f>
        <v>6.8587914285714341E-2</v>
      </c>
      <c r="O370" s="179">
        <f t="shared" si="159"/>
        <v>4.4496866239533146E-2</v>
      </c>
      <c r="P370" s="245" t="b">
        <f t="shared" ref="P370" si="249">L370&gt;D370</f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ref="S370" si="250">I370-R370</f>
        <v>69612.62</v>
      </c>
      <c r="T370" s="244">
        <v>-27836</v>
      </c>
      <c r="U370" s="244">
        <f t="shared" ref="U370" si="251">M370-T370</f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234"/>
        <v>5.0379525760723201E-4</v>
      </c>
      <c r="E371" s="240">
        <f t="shared" ref="E371" si="252">(C371-$C$2)/$C$2</f>
        <v>0.13350202621715712</v>
      </c>
      <c r="F371" s="241">
        <v>5870.75</v>
      </c>
      <c r="G371" s="168">
        <f t="shared" si="236"/>
        <v>1.6259413569188232E-3</v>
      </c>
      <c r="H371" s="242">
        <f t="shared" ref="H371" si="253">(F371-F$2)/F$2</f>
        <v>0.15300390832138583</v>
      </c>
      <c r="I371" s="539">
        <v>372756.96</v>
      </c>
      <c r="J371" s="244">
        <v>350000</v>
      </c>
      <c r="K371" s="244">
        <f t="shared" ref="K371" si="254">I371-I370-J371+J370</f>
        <v>-1248.8099999999977</v>
      </c>
      <c r="L371" s="168">
        <f t="shared" si="155"/>
        <v>-3.3390126574785132E-3</v>
      </c>
      <c r="M371" s="572">
        <f t="shared" ref="M371" si="255">I371-J371</f>
        <v>22756.960000000021</v>
      </c>
      <c r="N371" s="246">
        <f t="shared" ref="N371" si="256">M371/J371</f>
        <v>6.5019885714285769E-2</v>
      </c>
      <c r="O371" s="179">
        <f t="shared" si="159"/>
        <v>4.2107293009118578E-2</v>
      </c>
      <c r="P371" s="245" t="b">
        <f t="shared" ref="P371" si="257">L371&gt;D371</f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ref="S371" si="258">I371-R371</f>
        <v>68814.010000000009</v>
      </c>
      <c r="T371" s="244">
        <v>-28592</v>
      </c>
      <c r="U371" s="244">
        <f t="shared" ref="U371" si="259">M371-T371</f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234"/>
        <v>-3.2772164221692344E-3</v>
      </c>
      <c r="E372" s="205">
        <f t="shared" ref="E372" si="260">(C372-$C$2)/$C$2</f>
        <v>0.12978729476227616</v>
      </c>
      <c r="F372" s="215">
        <v>5849.17</v>
      </c>
      <c r="G372" s="168">
        <f t="shared" si="236"/>
        <v>-3.6758506153387431E-3</v>
      </c>
      <c r="H372" s="199">
        <f t="shared" ref="H372" si="261">(F372-F$2)/F$2</f>
        <v>0.14876563819549468</v>
      </c>
      <c r="I372" s="217">
        <v>373390.96</v>
      </c>
      <c r="J372" s="170">
        <v>350000</v>
      </c>
      <c r="K372" s="170">
        <f t="shared" ref="K372" si="262">I372-I371-J372+J371</f>
        <v>634</v>
      </c>
      <c r="L372" s="168">
        <f t="shared" si="155"/>
        <v>1.7008401399131487E-3</v>
      </c>
      <c r="M372" s="178">
        <f t="shared" ref="M372" si="263">I372-J372</f>
        <v>23390.960000000021</v>
      </c>
      <c r="N372" s="180">
        <f t="shared" ref="N372" si="264">M372/J372</f>
        <v>6.6831314285714344E-2</v>
      </c>
      <c r="O372" s="179">
        <f t="shared" si="159"/>
        <v>4.3051388964474718E-2</v>
      </c>
      <c r="P372" s="178" t="b">
        <f t="shared" ref="P372" si="265">L372&gt;D372</f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ref="S372" si="266">I372-R372</f>
        <v>68814.010000000009</v>
      </c>
      <c r="T372" s="170">
        <v>-29562</v>
      </c>
      <c r="U372" s="170">
        <f t="shared" ref="U372" si="267">M372-T372</f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234"/>
        <v>-2.9133039476952789E-3</v>
      </c>
      <c r="E373" s="205">
        <f t="shared" ref="E373" si="268">(C373-$C$2)/$C$2</f>
        <v>0.12649588097638925</v>
      </c>
      <c r="F373" s="215">
        <v>5833.92</v>
      </c>
      <c r="G373" s="168">
        <f t="shared" si="236"/>
        <v>-2.6072075183316609E-3</v>
      </c>
      <c r="H373" s="199">
        <f t="shared" ref="H373" si="269">(F373-F$2)/F$2</f>
        <v>0.14577056778679032</v>
      </c>
      <c r="I373" s="217">
        <v>368594.91</v>
      </c>
      <c r="J373" s="170">
        <v>350000</v>
      </c>
      <c r="K373" s="170">
        <f t="shared" ref="K373" si="270">I373-I372-J373+J372</f>
        <v>-4796.0500000000466</v>
      </c>
      <c r="L373" s="168">
        <f t="shared" si="155"/>
        <v>-1.2844579847353686E-2</v>
      </c>
      <c r="M373" s="178">
        <f t="shared" ref="M373" si="271">I373-J373</f>
        <v>18594.909999999974</v>
      </c>
      <c r="N373" s="180">
        <f t="shared" ref="N373" si="272">M373/J373</f>
        <v>5.3128314285714212E-2</v>
      </c>
      <c r="O373" s="179">
        <f t="shared" si="159"/>
        <v>3.416393801559351E-2</v>
      </c>
      <c r="P373" s="178" t="b">
        <f t="shared" ref="P373" si="273">L373&gt;D373</f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ref="S373" si="274">I373-R373</f>
        <v>68814.009999999951</v>
      </c>
      <c r="T373" s="170">
        <v>-31802</v>
      </c>
      <c r="U373" s="170">
        <f t="shared" ref="U373" si="275">M373-T373</f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234"/>
        <v>4.2222775809727285E-4</v>
      </c>
      <c r="E374" s="205">
        <f t="shared" ref="E374" si="276">(C374-$C$2)/$C$2</f>
        <v>0.12697151880671972</v>
      </c>
      <c r="F374" s="215">
        <v>5834.92</v>
      </c>
      <c r="G374" s="168">
        <f t="shared" si="236"/>
        <v>1.7141133234600405E-4</v>
      </c>
      <c r="H374" s="199">
        <f t="shared" ref="H374" si="277">(F374-F$2)/F$2</f>
        <v>0.1459669658463775</v>
      </c>
      <c r="I374" s="217">
        <v>359694.56</v>
      </c>
      <c r="J374" s="170">
        <v>350000</v>
      </c>
      <c r="K374" s="170">
        <f t="shared" ref="K374" si="278">I374-I373-J374+J373</f>
        <v>-8900.3499999999767</v>
      </c>
      <c r="L374" s="168">
        <f t="shared" si="155"/>
        <v>-2.4146698064821288E-2</v>
      </c>
      <c r="M374" s="178">
        <f t="shared" ref="M374" si="279">I374-J374</f>
        <v>9694.5599999999977</v>
      </c>
      <c r="N374" s="180">
        <f t="shared" ref="N374" si="280">M374/J374</f>
        <v>2.7698742857142852E-2</v>
      </c>
      <c r="O374" s="179">
        <f t="shared" si="159"/>
        <v>1.7780256289229218E-2</v>
      </c>
      <c r="P374" s="178" t="b">
        <f t="shared" ref="P374" si="281">L374&gt;D374</f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ref="S374" si="282">I374-R374</f>
        <v>58288.010000000009</v>
      </c>
      <c r="T374" s="170">
        <v>-32022</v>
      </c>
      <c r="U374" s="170">
        <f t="shared" ref="U374" si="283">M374-T374</f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234"/>
        <v>-1.9076639979066267E-3</v>
      </c>
      <c r="E375" s="205">
        <f t="shared" ref="E375" si="284">(C375-$C$2)/$C$2</f>
        <v>0.12482163581362599</v>
      </c>
      <c r="F375" s="215">
        <v>5838.8</v>
      </c>
      <c r="G375" s="168">
        <f t="shared" si="236"/>
        <v>6.6496198748228067E-4</v>
      </c>
      <c r="H375" s="199">
        <f t="shared" ref="H375" si="285">(F375-F$2)/F$2</f>
        <v>0.14672899031757575</v>
      </c>
      <c r="I375" s="217">
        <v>368952.54</v>
      </c>
      <c r="J375" s="170">
        <v>350000</v>
      </c>
      <c r="K375" s="170">
        <f t="shared" ref="K375" si="286">I375-I374-J375+J374</f>
        <v>9257.9799999999814</v>
      </c>
      <c r="L375" s="168">
        <f t="shared" si="155"/>
        <v>2.573844875496583E-2</v>
      </c>
      <c r="M375" s="178">
        <f t="shared" ref="M375" si="287">I375-J375</f>
        <v>18952.539999999979</v>
      </c>
      <c r="N375" s="180">
        <f t="shared" ref="N375" si="288">M375/J375</f>
        <v>5.4150114285714229E-2</v>
      </c>
      <c r="O375" s="179">
        <f t="shared" si="159"/>
        <v>3.4698823233082668E-2</v>
      </c>
      <c r="P375" s="178" t="b">
        <f t="shared" ref="P375" si="289">L375&gt;D375</f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ref="S375" si="290">I375-R375</f>
        <v>89306.289999999979</v>
      </c>
      <c r="T375" s="170">
        <v>-32329</v>
      </c>
      <c r="U375" s="170">
        <f t="shared" ref="U375" si="291">M375-T375</f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234"/>
        <v>3.2686786165835834E-3</v>
      </c>
      <c r="E376" s="205">
        <f t="shared" ref="E376" si="292">(C376-$C$2)/$C$2</f>
        <v>0.12849831624208055</v>
      </c>
      <c r="F376" s="215">
        <v>5861.72</v>
      </c>
      <c r="G376" s="168">
        <f t="shared" si="236"/>
        <v>3.9254641364664094E-3</v>
      </c>
      <c r="H376" s="199">
        <f t="shared" ref="H376" si="293">(F376-F$2)/F$2</f>
        <v>0.15123043384331372</v>
      </c>
      <c r="I376" s="217">
        <v>320075.84000000003</v>
      </c>
      <c r="J376" s="170">
        <v>300000</v>
      </c>
      <c r="K376" s="170">
        <f t="shared" ref="K376" si="294">I376-I375-J376+J375</f>
        <v>1123.3000000000466</v>
      </c>
      <c r="L376" s="168">
        <f t="shared" si="155"/>
        <v>3.0445650272526831E-3</v>
      </c>
      <c r="M376" s="178">
        <f t="shared" ref="M376" si="295">I376-J376</f>
        <v>20075.840000000026</v>
      </c>
      <c r="N376" s="180">
        <f t="shared" ref="N376" si="296">M376/J376</f>
        <v>6.6919466666666746E-2</v>
      </c>
      <c r="O376" s="179">
        <f t="shared" si="159"/>
        <v>4.2806191243432629E-2</v>
      </c>
      <c r="P376" s="178" t="b">
        <f t="shared" ref="P376" si="297">L376&gt;D376</f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ref="S376" si="298">I376-R376</f>
        <v>50796.540000000037</v>
      </c>
      <c r="T376" s="170">
        <v>-32569</v>
      </c>
      <c r="U376" s="170">
        <f t="shared" ref="U376" si="299">M376-T376</f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234"/>
        <v>3.6668633566546864E-4</v>
      </c>
      <c r="E377" s="240">
        <f t="shared" ref="E377" si="300">(C377-$C$2)/$C$2</f>
        <v>0.12891212115446801</v>
      </c>
      <c r="F377" s="241">
        <v>5875.78</v>
      </c>
      <c r="G377" s="168">
        <f t="shared" si="236"/>
        <v>2.3986133762785478E-3</v>
      </c>
      <c r="H377" s="242">
        <f t="shared" ref="H377" si="301">(F377-F$2)/F$2</f>
        <v>0.15399179056110926</v>
      </c>
      <c r="I377" s="539">
        <v>317453.64</v>
      </c>
      <c r="J377" s="244">
        <v>300000</v>
      </c>
      <c r="K377" s="244">
        <f t="shared" ref="K377" si="302">I377-I376-J377+J376</f>
        <v>-2622.2000000000116</v>
      </c>
      <c r="L377" s="168">
        <f t="shared" si="155"/>
        <v>-8.1924333932858265E-3</v>
      </c>
      <c r="M377" s="572">
        <f t="shared" ref="M377" si="303">I377-J377</f>
        <v>17453.640000000014</v>
      </c>
      <c r="N377" s="246">
        <f t="shared" ref="N377" si="304">M377/J377</f>
        <v>5.8178800000000044E-2</v>
      </c>
      <c r="O377" s="179">
        <f t="shared" si="159"/>
        <v>3.7020569163763097E-2</v>
      </c>
      <c r="P377" s="245" t="b">
        <f t="shared" ref="P377" si="305">L377&gt;D377</f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ref="S377" si="306">I377-R377</f>
        <v>50796.540000000037</v>
      </c>
      <c r="T377" s="244">
        <v>-33037</v>
      </c>
      <c r="U377" s="244">
        <f t="shared" ref="U377" si="307">M377-T377</f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382" si="308">(C378-C377)/C377</f>
        <v>-3.3790189048102494E-3</v>
      </c>
      <c r="E378" s="240">
        <f t="shared" ref="E378" si="309">(C378-$C$2)/$C$2</f>
        <v>0.12509750575521764</v>
      </c>
      <c r="F378" s="241">
        <v>5856.81</v>
      </c>
      <c r="G378" s="168">
        <f t="shared" si="236"/>
        <v>-3.2285075343187366E-3</v>
      </c>
      <c r="H378" s="242">
        <f t="shared" ref="H378" si="310">(F378-F$2)/F$2</f>
        <v>0.15026611937074075</v>
      </c>
      <c r="I378" s="539">
        <v>413367.17</v>
      </c>
      <c r="J378" s="244">
        <v>400000</v>
      </c>
      <c r="K378" s="244">
        <f t="shared" ref="K378" si="311">I378-I377-J378+J377</f>
        <v>-4086.4700000000303</v>
      </c>
      <c r="L378" s="168">
        <f t="shared" si="155"/>
        <v>-1.2872651263346769E-2</v>
      </c>
      <c r="M378" s="572">
        <f t="shared" ref="M378" si="312">I378-J378</f>
        <v>13367.169999999984</v>
      </c>
      <c r="N378" s="246">
        <f t="shared" ref="N378" si="313">M378/J378</f>
        <v>3.3417924999999959E-2</v>
      </c>
      <c r="O378" s="179">
        <f t="shared" si="159"/>
        <v>2.1227647141304321E-2</v>
      </c>
      <c r="P378" s="245" t="b">
        <f t="shared" ref="P378" si="314">L378&gt;D378</f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ref="S378" si="315">I378-R378</f>
        <v>136177.37</v>
      </c>
      <c r="T378" s="244">
        <v>-33401</v>
      </c>
      <c r="U378" s="244">
        <f t="shared" ref="U378" si="316">M378-T378</f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308"/>
        <v>8.3747278530513867E-3</v>
      </c>
      <c r="E379" s="240">
        <f t="shared" ref="E379" si="317">(C379-$C$2)/$C$2</f>
        <v>0.13451989117406449</v>
      </c>
      <c r="F379" s="241">
        <v>5900.04</v>
      </c>
      <c r="G379" s="168">
        <f t="shared" si="236"/>
        <v>7.3811511727373026E-3</v>
      </c>
      <c r="H379" s="242">
        <f t="shared" ref="H379" si="318">(F379-F$2)/F$2</f>
        <v>0.15875640748669406</v>
      </c>
      <c r="I379" s="539">
        <v>417096.77</v>
      </c>
      <c r="J379" s="244">
        <v>400000</v>
      </c>
      <c r="K379" s="244">
        <f t="shared" ref="K379" si="319">I379-I378-J379+J378</f>
        <v>3729.6000000000349</v>
      </c>
      <c r="L379" s="168">
        <f t="shared" si="155"/>
        <v>9.0224871994552328E-3</v>
      </c>
      <c r="M379" s="572">
        <f t="shared" ref="M379" si="320">I379-J379</f>
        <v>17096.770000000019</v>
      </c>
      <c r="N379" s="246">
        <f t="shared" ref="N379:N384" si="321">M379/J379</f>
        <v>4.2741925000000049E-2</v>
      </c>
      <c r="O379" s="179">
        <f t="shared" si="159"/>
        <v>2.7103277962239613E-2</v>
      </c>
      <c r="P379" s="245" t="b">
        <f t="shared" ref="P379" si="322">L379&gt;D379</f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ref="S379" si="323">I379-R379</f>
        <v>144473.97000000003</v>
      </c>
      <c r="T379" s="244">
        <v>-33400</v>
      </c>
      <c r="U379" s="244">
        <f t="shared" ref="U379" si="324">M379-T379</f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308"/>
        <v>-1.6266570520614562E-3</v>
      </c>
      <c r="E380" s="240">
        <f t="shared" ref="E380" si="325">(C380-$C$2)/$C$2</f>
        <v>0.1326744163923822</v>
      </c>
      <c r="F380" s="241">
        <v>5900.76</v>
      </c>
      <c r="G380" s="168">
        <f t="shared" si="236"/>
        <v>1.2203307096227393E-4</v>
      </c>
      <c r="H380" s="242">
        <f t="shared" ref="H380" si="326">(F380-F$2)/F$2</f>
        <v>0.15889781408959688</v>
      </c>
      <c r="I380" s="539">
        <v>418538.3</v>
      </c>
      <c r="J380" s="244">
        <v>400000</v>
      </c>
      <c r="K380" s="244">
        <f t="shared" ref="K380" si="327">I380-I379-J380+J379</f>
        <v>1441.5299999999697</v>
      </c>
      <c r="L380" s="168">
        <f t="shared" si="155"/>
        <v>3.4561044431007455E-3</v>
      </c>
      <c r="M380" s="572">
        <f t="shared" ref="M380" si="328">I380-J380</f>
        <v>18538.299999999988</v>
      </c>
      <c r="N380" s="246">
        <f t="shared" si="321"/>
        <v>4.634574999999997E-2</v>
      </c>
      <c r="O380" s="179">
        <f t="shared" si="159"/>
        <v>2.9337582647313672E-2</v>
      </c>
      <c r="P380" s="245" t="b">
        <f t="shared" ref="P380" si="329">L380&gt;D380</f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ref="S380" si="330">I380-R380</f>
        <v>142643.95000000001</v>
      </c>
      <c r="T380" s="244">
        <v>-31087</v>
      </c>
      <c r="U380" s="244">
        <f t="shared" ref="U380" si="331">M380-T380</f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308"/>
        <v>-1.3143639402363792E-3</v>
      </c>
      <c r="E381" s="240">
        <f t="shared" ref="E381" si="332">(C381-$C$2)/$C$2</f>
        <v>0.13118566998344777</v>
      </c>
      <c r="F381" s="241">
        <v>5900.99</v>
      </c>
      <c r="G381" s="168">
        <f t="shared" si="236"/>
        <v>3.8978029948610593E-5</v>
      </c>
      <c r="H381" s="242">
        <f t="shared" ref="H381" si="333">(F381-F$2)/F$2</f>
        <v>0.15894298564330184</v>
      </c>
      <c r="I381" s="539">
        <v>417260.19</v>
      </c>
      <c r="J381" s="244">
        <v>400000</v>
      </c>
      <c r="K381" s="244">
        <f t="shared" ref="K381" si="334">I381-I380-J381+J380</f>
        <v>-1278.109999999986</v>
      </c>
      <c r="L381" s="168">
        <f t="shared" si="155"/>
        <v>-3.0537468136129621E-3</v>
      </c>
      <c r="M381" s="572">
        <f t="shared" ref="M381" si="335">I381-J381</f>
        <v>17260.190000000002</v>
      </c>
      <c r="N381" s="246">
        <f t="shared" si="321"/>
        <v>4.3150475000000008E-2</v>
      </c>
      <c r="O381" s="179">
        <f t="shared" si="159"/>
        <v>2.7267666079152254E-2</v>
      </c>
      <c r="P381" s="245" t="b">
        <f t="shared" ref="P381" si="336">L381&gt;D381</f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ref="S381" si="337">I381-R381</f>
        <v>144637.39000000001</v>
      </c>
      <c r="T381" s="244">
        <v>-31412</v>
      </c>
      <c r="U381" s="244">
        <f t="shared" ref="U381" si="338">M381-T381</f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308"/>
        <v>-2.0098812151793126E-3</v>
      </c>
      <c r="E382" s="205">
        <f t="shared" ref="E382" si="339">(C382-$C$2)/$C$2</f>
        <v>0.12891212115446801</v>
      </c>
      <c r="F382" s="215">
        <v>5901.52</v>
      </c>
      <c r="G382" s="168">
        <f t="shared" si="236"/>
        <v>8.9815437748692146E-5</v>
      </c>
      <c r="H382" s="199">
        <f t="shared" ref="H382" si="340">(F382-F$2)/F$2</f>
        <v>0.15904707661488318</v>
      </c>
      <c r="I382" s="217">
        <v>416415.39</v>
      </c>
      <c r="J382" s="170">
        <v>400000</v>
      </c>
      <c r="K382" s="170">
        <f t="shared" ref="K382" si="341">I382-I381-J382+J381</f>
        <v>-844.79999999998836</v>
      </c>
      <c r="L382" s="168">
        <f t="shared" si="155"/>
        <v>-2.0246359951089231E-3</v>
      </c>
      <c r="M382" s="178">
        <f t="shared" ref="M382" si="342">I382-J382</f>
        <v>16415.390000000014</v>
      </c>
      <c r="N382" s="180">
        <f t="shared" si="321"/>
        <v>4.1038475000000033E-2</v>
      </c>
      <c r="O382" s="179">
        <f t="shared" si="159"/>
        <v>2.579914456755596E-2</v>
      </c>
      <c r="P382" s="178" t="b">
        <f t="shared" ref="P382" si="343">L382&gt;D382</f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ref="S382" si="344">I382-R382</f>
        <v>142507.39000000001</v>
      </c>
      <c r="T382" s="170">
        <v>-32614</v>
      </c>
      <c r="U382" s="170">
        <f t="shared" ref="U382" si="345">M382-T382</f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ref="D383" si="346">(C383-C382)/C382</f>
        <v>-1.240799335993285E-2</v>
      </c>
      <c r="E383" s="205">
        <f t="shared" ref="E383" si="347">(C383-$C$2)/$C$2</f>
        <v>0.11490458705123567</v>
      </c>
      <c r="F383" s="215">
        <v>5793.82</v>
      </c>
      <c r="G383" s="168">
        <f t="shared" ref="G383:G387" si="348">(F383-F382)/F382</f>
        <v>-1.8249535712833425E-2</v>
      </c>
      <c r="H383" s="199">
        <f t="shared" ref="H383" si="349">(F383-F$2)/F$2</f>
        <v>0.13789500559734469</v>
      </c>
      <c r="I383" s="217">
        <v>411936.49</v>
      </c>
      <c r="J383" s="170">
        <v>400000</v>
      </c>
      <c r="K383" s="170">
        <f t="shared" ref="K383" si="350">I383-I382-J383+J382</f>
        <v>-4478.9000000000233</v>
      </c>
      <c r="L383" s="168">
        <f t="shared" si="155"/>
        <v>-1.0755846463791895E-2</v>
      </c>
      <c r="M383" s="178">
        <f t="shared" ref="M383" si="351">I383-J383</f>
        <v>11936.489999999991</v>
      </c>
      <c r="N383" s="180">
        <f t="shared" si="321"/>
        <v>2.9841224999999978E-2</v>
      </c>
      <c r="O383" s="179">
        <f t="shared" si="159"/>
        <v>1.8727675998711325E-2</v>
      </c>
      <c r="P383" s="178" t="b">
        <f t="shared" ref="P383" si="352">L383&gt;D383</f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ref="S383" si="353">I383-R383</f>
        <v>130577.19</v>
      </c>
      <c r="T383" s="170">
        <v>-32572</v>
      </c>
      <c r="U383" s="170">
        <f t="shared" ref="U383" si="354">M383-T383</f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ref="D384:D387" si="355">(C384-C383)/C383</f>
        <v>1.8899156150544091E-3</v>
      </c>
      <c r="E384" s="205">
        <f t="shared" ref="E384" si="356">(C384-$C$2)/$C$2</f>
        <v>0.11701166263959958</v>
      </c>
      <c r="F384" s="215">
        <v>5821.64</v>
      </c>
      <c r="G384" s="168">
        <f t="shared" si="348"/>
        <v>4.8016679841625422E-3</v>
      </c>
      <c r="H384" s="199">
        <f t="shared" ref="H384" si="357">(F384-F$2)/F$2</f>
        <v>0.1433587996150599</v>
      </c>
      <c r="I384" s="217">
        <v>410749.09</v>
      </c>
      <c r="J384" s="170">
        <v>400000</v>
      </c>
      <c r="K384" s="170">
        <f t="shared" ref="K384" si="358">I384-I383-J384+J383</f>
        <v>-1187.3999999999651</v>
      </c>
      <c r="L384" s="168">
        <f t="shared" si="155"/>
        <v>-2.8824831711314653E-3</v>
      </c>
      <c r="M384" s="178">
        <f t="shared" ref="M384" si="359">I384-J384</f>
        <v>10749.090000000026</v>
      </c>
      <c r="N384" s="180">
        <f t="shared" si="321"/>
        <v>2.6872725000000063E-2</v>
      </c>
      <c r="O384" s="179">
        <f t="shared" si="159"/>
        <v>1.6835785259434001E-2</v>
      </c>
      <c r="P384" s="178" t="b">
        <f t="shared" ref="P384" si="360">L384&gt;D384</f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ref="S384" si="361">I384-R384</f>
        <v>124657.19</v>
      </c>
      <c r="T384" s="170">
        <v>-33152</v>
      </c>
      <c r="U384" s="170">
        <f t="shared" ref="U384" si="362">M384-T384</f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363">B385-$B$2</f>
        <v>584</v>
      </c>
      <c r="B385" s="169">
        <v>42817</v>
      </c>
      <c r="C385" s="211">
        <v>2345.96</v>
      </c>
      <c r="D385" s="168">
        <f t="shared" si="355"/>
        <v>-1.0602737976110974E-3</v>
      </c>
      <c r="E385" s="205">
        <f t="shared" ref="E385" si="364">(C385-$C$2)/$C$2</f>
        <v>0.11582732444207681</v>
      </c>
      <c r="F385" s="215">
        <v>5817.69</v>
      </c>
      <c r="G385" s="168">
        <f t="shared" si="348"/>
        <v>-6.7850296480042173E-4</v>
      </c>
      <c r="H385" s="199">
        <f t="shared" ref="H385" si="365">(F385-F$2)/F$2</f>
        <v>0.14258302727969044</v>
      </c>
      <c r="I385" s="217">
        <v>409192.08</v>
      </c>
      <c r="J385" s="170">
        <v>400000</v>
      </c>
      <c r="K385" s="170">
        <f t="shared" ref="K385" si="366">I385-I384-J385+J384</f>
        <v>-1557.0100000000093</v>
      </c>
      <c r="L385" s="168">
        <f t="shared" si="155"/>
        <v>-3.7906596457706315E-3</v>
      </c>
      <c r="M385" s="178">
        <f t="shared" ref="M385" si="367">I385-J385</f>
        <v>9192.0800000000163</v>
      </c>
      <c r="N385" s="180">
        <f t="shared" ref="N385" si="368">M385/J385</f>
        <v>2.2980200000000041E-2</v>
      </c>
      <c r="O385" s="179">
        <f t="shared" si="159"/>
        <v>1.4372462414383587E-2</v>
      </c>
      <c r="P385" s="178" t="b">
        <f t="shared" ref="P385" si="369">L385&gt;D385</f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ref="S385" si="370">I385-R385</f>
        <v>127555.13</v>
      </c>
      <c r="T385" s="170">
        <v>-33283</v>
      </c>
      <c r="U385" s="170">
        <f t="shared" ref="U385" si="371">M385-T385</f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363"/>
        <v>585</v>
      </c>
      <c r="B386" s="169">
        <v>42818</v>
      </c>
      <c r="C386" s="211">
        <v>2343.98</v>
      </c>
      <c r="D386" s="168">
        <f t="shared" si="355"/>
        <v>-8.4400416034374759E-4</v>
      </c>
      <c r="E386" s="205">
        <f t="shared" ref="E386" si="372">(C386-$C$2)/$C$2</f>
        <v>0.11488556153802247</v>
      </c>
      <c r="F386" s="215">
        <v>5828.73</v>
      </c>
      <c r="G386" s="168">
        <f t="shared" si="348"/>
        <v>1.8976604116066624E-3</v>
      </c>
      <c r="H386" s="199">
        <f t="shared" ref="H386" si="373">(F386-F$2)/F$2</f>
        <v>0.14475126185753281</v>
      </c>
      <c r="I386" s="217">
        <v>410959.03</v>
      </c>
      <c r="J386" s="170">
        <v>400000</v>
      </c>
      <c r="K386" s="170">
        <f t="shared" ref="K386" si="374">I386-I385-J386+J385</f>
        <v>1766.9500000000116</v>
      </c>
      <c r="L386" s="168">
        <f t="shared" si="155"/>
        <v>4.3181432055087957E-3</v>
      </c>
      <c r="M386" s="178">
        <f t="shared" ref="M386" si="375">I386-J386</f>
        <v>10959.030000000028</v>
      </c>
      <c r="N386" s="180">
        <f t="shared" ref="N386" si="376">M386/J386</f>
        <v>2.739757500000007E-2</v>
      </c>
      <c r="O386" s="179">
        <f t="shared" si="159"/>
        <v>1.710592182692312E-2</v>
      </c>
      <c r="P386" s="178" t="b">
        <f t="shared" ref="P386" si="377">L386&gt;D386</f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ref="S386" si="378">I386-R386</f>
        <v>124707.13</v>
      </c>
      <c r="T386" s="170">
        <v>-32644</v>
      </c>
      <c r="U386" s="170">
        <f t="shared" ref="U386" si="379">M386-T386</f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363"/>
        <v>588</v>
      </c>
      <c r="B387" s="238">
        <v>42821</v>
      </c>
      <c r="C387" s="327">
        <v>2341.59</v>
      </c>
      <c r="D387" s="168">
        <f t="shared" si="355"/>
        <v>-1.0196332733213903E-3</v>
      </c>
      <c r="E387" s="240">
        <f t="shared" ref="E387" si="380">(C387-$C$2)/$C$2</f>
        <v>0.1137487871235327</v>
      </c>
      <c r="F387" s="241">
        <v>5840.37</v>
      </c>
      <c r="G387" s="168">
        <f t="shared" si="348"/>
        <v>1.9970044932601664E-3</v>
      </c>
      <c r="H387" s="242">
        <f t="shared" ref="H387" si="381">(F387-F$2)/F$2</f>
        <v>0.14703733527112753</v>
      </c>
      <c r="I387" s="539">
        <v>411631.08</v>
      </c>
      <c r="J387" s="244">
        <v>400000</v>
      </c>
      <c r="K387" s="244">
        <f t="shared" ref="K387" si="382">I387-I386-J387+J386</f>
        <v>672.04999999998836</v>
      </c>
      <c r="L387" s="168">
        <f t="shared" ref="L387" si="383">K387/I386</f>
        <v>1.6353211657132544E-3</v>
      </c>
      <c r="M387" s="572">
        <f t="shared" ref="M387" si="384">I387-J387</f>
        <v>11631.080000000016</v>
      </c>
      <c r="N387" s="246">
        <f t="shared" ref="N387" si="385">M387/J387</f>
        <v>2.907770000000004E-2</v>
      </c>
      <c r="O387" s="179">
        <f t="shared" si="159"/>
        <v>1.8062295790816349E-2</v>
      </c>
      <c r="P387" s="245" t="b">
        <f t="shared" ref="P387" si="386">L387&gt;D387</f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ref="S387" si="387">I387-R387</f>
        <v>124707.13</v>
      </c>
      <c r="T387" s="244">
        <v>-32983</v>
      </c>
      <c r="U387" s="244">
        <f t="shared" ref="U387" si="388">M387-T387</f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363"/>
        <v>589</v>
      </c>
      <c r="B388" s="238">
        <v>42822</v>
      </c>
      <c r="C388" s="327">
        <v>2358.5700000000002</v>
      </c>
      <c r="D388" s="168">
        <f t="shared" ref="D388" si="389">(C388-C387)/C387</f>
        <v>7.2514829667021203E-3</v>
      </c>
      <c r="E388" s="240">
        <f t="shared" ref="E388" si="390">(C388-$C$2)/$C$2</f>
        <v>0.12182511748254414</v>
      </c>
      <c r="F388" s="241">
        <v>5875.14</v>
      </c>
      <c r="G388" s="168">
        <f t="shared" ref="G388" si="391">(F388-F387)/F387</f>
        <v>5.9533899393361097E-3</v>
      </c>
      <c r="H388" s="242">
        <f t="shared" ref="H388" si="392">(F388-F$2)/F$2</f>
        <v>0.15386609580297358</v>
      </c>
      <c r="I388" s="539">
        <v>415160.28</v>
      </c>
      <c r="J388" s="244">
        <v>400000</v>
      </c>
      <c r="K388" s="244">
        <f t="shared" ref="K388" si="393">I388-I387-J388+J387</f>
        <v>3529.2000000000116</v>
      </c>
      <c r="L388" s="168">
        <f t="shared" ref="L388:L401" si="394">K388/I387</f>
        <v>8.5736966217420021E-3</v>
      </c>
      <c r="M388" s="572">
        <f t="shared" ref="M388" si="395">I388-J388</f>
        <v>15160.280000000028</v>
      </c>
      <c r="N388" s="246">
        <f t="shared" ref="N388" si="396">M388/J388</f>
        <v>3.7900700000000072E-2</v>
      </c>
      <c r="O388" s="179">
        <f t="shared" si="159"/>
        <v>2.3502938327674066E-2</v>
      </c>
      <c r="P388" s="245" t="b">
        <f t="shared" ref="P388" si="397">L388&gt;D388</f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ref="S388" si="398">I388-R388</f>
        <v>124707.13</v>
      </c>
      <c r="T388" s="244">
        <v>-33166</v>
      </c>
      <c r="U388" s="244">
        <f t="shared" ref="U388" si="399">M388-T388</f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363"/>
        <v>590</v>
      </c>
      <c r="B389" s="238">
        <v>42823</v>
      </c>
      <c r="C389" s="327">
        <v>2361.13</v>
      </c>
      <c r="D389" s="168">
        <f t="shared" ref="D389" si="400">(C389-C388)/C388</f>
        <v>1.0854034436119959E-3</v>
      </c>
      <c r="E389" s="240">
        <f t="shared" ref="E389" si="401">(C389-$C$2)/$C$2</f>
        <v>0.12304275032819012</v>
      </c>
      <c r="F389" s="241">
        <v>5897.54</v>
      </c>
      <c r="G389" s="168">
        <f t="shared" ref="G389:G401" si="402">(F389-F388)/F388</f>
        <v>3.8126751022102682E-3</v>
      </c>
      <c r="H389" s="242">
        <f t="shared" ref="H389" si="403">(F389-F$2)/F$2</f>
        <v>0.15826541233772615</v>
      </c>
      <c r="I389" s="539">
        <v>420963.65</v>
      </c>
      <c r="J389" s="244">
        <v>400000</v>
      </c>
      <c r="K389" s="244">
        <f t="shared" ref="K389" si="404">I389-I388-J389+J388</f>
        <v>5803.3699999999953</v>
      </c>
      <c r="L389" s="168">
        <f t="shared" si="394"/>
        <v>1.3978625315504641E-2</v>
      </c>
      <c r="M389" s="572">
        <f t="shared" ref="M389" si="405">I389-J389</f>
        <v>20963.650000000023</v>
      </c>
      <c r="N389" s="246">
        <f t="shared" ref="N389" si="406">M389/J389</f>
        <v>5.2409125000000056E-2</v>
      </c>
      <c r="O389" s="179">
        <f t="shared" si="159"/>
        <v>3.2444801536016983E-2</v>
      </c>
      <c r="P389" s="245" t="b">
        <f t="shared" ref="P389" si="407">L389&gt;D389</f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ref="S389" si="408">I389-R389</f>
        <v>133086.95000000001</v>
      </c>
      <c r="T389" s="244">
        <v>-32529</v>
      </c>
      <c r="U389" s="244">
        <f t="shared" ref="U389" si="409">M389-T389</f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363"/>
        <v>591</v>
      </c>
      <c r="B390" s="238">
        <v>42824</v>
      </c>
      <c r="C390" s="327">
        <v>2368.06</v>
      </c>
      <c r="D390" s="168">
        <f t="shared" ref="D390:D392" si="410">(C390-C389)/C389</f>
        <v>2.9350353432465964E-3</v>
      </c>
      <c r="E390" s="240">
        <f t="shared" ref="E390" si="411">(C390-$C$2)/$C$2</f>
        <v>0.12633892049238021</v>
      </c>
      <c r="F390" s="241">
        <v>5914.34</v>
      </c>
      <c r="G390" s="168">
        <f t="shared" si="402"/>
        <v>2.848645367390502E-3</v>
      </c>
      <c r="H390" s="242">
        <f t="shared" ref="H390" si="412">(F390-F$2)/F$2</f>
        <v>0.16156489973879065</v>
      </c>
      <c r="I390" s="539">
        <v>421561.9</v>
      </c>
      <c r="J390" s="244">
        <v>400000</v>
      </c>
      <c r="K390" s="244">
        <f t="shared" ref="K390" si="413">I390-I389-J390+J389</f>
        <v>598.25</v>
      </c>
      <c r="L390" s="168">
        <f t="shared" si="394"/>
        <v>1.4211440821553119E-3</v>
      </c>
      <c r="M390" s="572">
        <f t="shared" ref="M390" si="414">I390-J390</f>
        <v>21561.900000000023</v>
      </c>
      <c r="N390" s="246">
        <f t="shared" ref="N390" si="415">M390/J390</f>
        <v>5.3904750000000057E-2</v>
      </c>
      <c r="O390" s="179">
        <f t="shared" si="159"/>
        <v>3.3314230012690391E-2</v>
      </c>
      <c r="P390" s="245" t="b">
        <f t="shared" ref="P390" si="416">L390&gt;D390</f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ref="S390" si="417">I390-R390</f>
        <v>133086.95000000001</v>
      </c>
      <c r="T390" s="244">
        <v>-32386</v>
      </c>
      <c r="U390" s="244">
        <f t="shared" ref="U390" si="418">M390-T390</f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363"/>
        <v>592</v>
      </c>
      <c r="B391" s="238">
        <v>42825</v>
      </c>
      <c r="C391" s="327">
        <v>2362.7199999999998</v>
      </c>
      <c r="D391" s="168">
        <f t="shared" si="410"/>
        <v>-2.2550104304790188E-3</v>
      </c>
      <c r="E391" s="240">
        <f t="shared" ref="E391" si="419">(C391-$C$2)/$C$2</f>
        <v>0.12379901447841543</v>
      </c>
      <c r="F391" s="241">
        <v>5911.73</v>
      </c>
      <c r="G391" s="168">
        <f t="shared" si="402"/>
        <v>-4.4130029724374692E-4</v>
      </c>
      <c r="H391" s="242">
        <f t="shared" ref="H391" si="420">(F391-F$2)/F$2</f>
        <v>0.16105230080326802</v>
      </c>
      <c r="I391" s="569">
        <v>422230.44</v>
      </c>
      <c r="J391" s="244">
        <v>400000</v>
      </c>
      <c r="K391" s="244">
        <f t="shared" ref="K391" si="421">I391-I390-J391+J390</f>
        <v>668.53999999997905</v>
      </c>
      <c r="L391" s="168">
        <f t="shared" si="394"/>
        <v>1.5858643772124071E-3</v>
      </c>
      <c r="M391" s="461">
        <f t="shared" ref="M391" si="422">I391-J391</f>
        <v>22230.440000000002</v>
      </c>
      <c r="N391" s="246">
        <f t="shared" ref="N391" si="423">M391/J391</f>
        <v>5.5576100000000003E-2</v>
      </c>
      <c r="O391" s="179">
        <f t="shared" ref="O391:O454" si="424">N391/(A391/365.25)</f>
        <v>3.4289139400337842E-2</v>
      </c>
      <c r="P391" s="245" t="b">
        <f t="shared" ref="P391" si="425">L391&gt;D391</f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ref="S391" si="426">I391-R391</f>
        <v>136751.74</v>
      </c>
      <c r="T391" s="244">
        <v>-31395</v>
      </c>
      <c r="U391" s="244">
        <f t="shared" ref="U391" si="427">M391-T391</f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363"/>
        <v>595</v>
      </c>
      <c r="B392" s="169">
        <v>42828</v>
      </c>
      <c r="C392" s="211">
        <v>2358.84</v>
      </c>
      <c r="D392" s="168">
        <f t="shared" si="410"/>
        <v>-1.6421751202003007E-3</v>
      </c>
      <c r="E392" s="205">
        <f t="shared" ref="E392" si="428">(C392-$C$2)/$C$2</f>
        <v>0.12195353969673337</v>
      </c>
      <c r="F392" s="215">
        <v>5894.68</v>
      </c>
      <c r="G392" s="168">
        <f t="shared" si="402"/>
        <v>-2.8840965335019146E-3</v>
      </c>
      <c r="H392" s="199">
        <f t="shared" ref="H392" si="429">(F392-F$2)/F$2</f>
        <v>0.15770371388730689</v>
      </c>
      <c r="I392" s="217">
        <v>420788.86</v>
      </c>
      <c r="J392" s="170">
        <v>400000</v>
      </c>
      <c r="K392" s="170">
        <f t="shared" ref="K392" si="430">I392-I391-J392+J391</f>
        <v>-1441.5800000000163</v>
      </c>
      <c r="L392" s="168">
        <f t="shared" si="394"/>
        <v>-3.4142019699006454E-3</v>
      </c>
      <c r="M392" s="178">
        <f t="shared" ref="M392" si="431">I392-J392</f>
        <v>20788.859999999986</v>
      </c>
      <c r="N392" s="180">
        <f t="shared" ref="N392" si="432">M392/J392</f>
        <v>5.1972149999999967E-2</v>
      </c>
      <c r="O392" s="179">
        <f t="shared" si="424"/>
        <v>3.1903912247899138E-2</v>
      </c>
      <c r="P392" s="178" t="b">
        <f t="shared" ref="P392" si="433">L392&gt;D392</f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ref="S392" si="434">I392-R392</f>
        <v>142052.51</v>
      </c>
      <c r="T392" s="170">
        <v>-32014</v>
      </c>
      <c r="U392" s="170">
        <f t="shared" ref="U392" si="435">M392-T392</f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363"/>
        <v>596</v>
      </c>
      <c r="B393" s="169">
        <v>42829</v>
      </c>
      <c r="C393" s="211">
        <v>2360.16</v>
      </c>
      <c r="D393" s="168">
        <f t="shared" ref="D393" si="436">(C393-C392)/C392</f>
        <v>5.5959709009500806E-4</v>
      </c>
      <c r="E393" s="205">
        <f t="shared" ref="E393" si="437">(C393-$C$2)/$C$2</f>
        <v>0.12258138163276945</v>
      </c>
      <c r="F393" s="215">
        <v>5898.6</v>
      </c>
      <c r="G393" s="168">
        <f t="shared" si="402"/>
        <v>6.6500641256184774E-4</v>
      </c>
      <c r="H393" s="199">
        <f t="shared" ref="H393" si="438">(F393-F$2)/F$2</f>
        <v>0.15847359428088861</v>
      </c>
      <c r="I393" s="217">
        <v>422816.59</v>
      </c>
      <c r="J393" s="170">
        <v>400000</v>
      </c>
      <c r="K393" s="170">
        <f t="shared" ref="K393" si="439">I393-I392-J393+J392</f>
        <v>2027.7300000000396</v>
      </c>
      <c r="L393" s="168">
        <f t="shared" si="394"/>
        <v>4.8188775719966532E-3</v>
      </c>
      <c r="M393" s="178">
        <f t="shared" ref="M393" si="440">I393-J393</f>
        <v>22816.590000000026</v>
      </c>
      <c r="N393" s="180">
        <f t="shared" ref="N393" si="441">M393/J393</f>
        <v>5.7041475000000064E-2</v>
      </c>
      <c r="O393" s="179">
        <f t="shared" si="424"/>
        <v>3.4957044872063796E-2</v>
      </c>
      <c r="P393" s="178" t="b">
        <f t="shared" ref="P393" si="442">L393&gt;D393</f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ref="S393" si="443">I393-R393</f>
        <v>143004.49000000005</v>
      </c>
      <c r="T393" s="170">
        <v>-31748</v>
      </c>
      <c r="U393" s="170">
        <f t="shared" ref="U393" si="444">M393-T393</f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363"/>
        <v>597</v>
      </c>
      <c r="B394" s="169">
        <v>42830</v>
      </c>
      <c r="C394" s="211">
        <v>2352.9499999999998</v>
      </c>
      <c r="D394" s="168">
        <f t="shared" ref="D394:D398" si="445">(C394-C393)/C393</f>
        <v>-3.054877635414564E-3</v>
      </c>
      <c r="E394" s="205">
        <f t="shared" ref="E394" si="446">(C394-$C$2)/$C$2</f>
        <v>0.11915203287608672</v>
      </c>
      <c r="F394" s="215">
        <v>5864.47</v>
      </c>
      <c r="G394" s="168">
        <f t="shared" si="402"/>
        <v>-5.7861187400400273E-3</v>
      </c>
      <c r="H394" s="199">
        <f t="shared" ref="H394" si="447">(F394-F$2)/F$2</f>
        <v>0.15177052850717845</v>
      </c>
      <c r="I394" s="217">
        <v>421093.29</v>
      </c>
      <c r="J394" s="170">
        <v>400000</v>
      </c>
      <c r="K394" s="170">
        <f t="shared" ref="K394" si="448">I394-I393-J394+J393</f>
        <v>-1723.3000000000466</v>
      </c>
      <c r="L394" s="168">
        <f t="shared" si="394"/>
        <v>-4.0757624955067313E-3</v>
      </c>
      <c r="M394" s="178">
        <f t="shared" ref="M394" si="449">I394-J394</f>
        <v>21093.289999999979</v>
      </c>
      <c r="N394" s="180">
        <f t="shared" ref="N394" si="450">M394/J394</f>
        <v>5.2733224999999946E-2</v>
      </c>
      <c r="O394" s="179">
        <f t="shared" si="424"/>
        <v>3.2262664038944691E-2</v>
      </c>
      <c r="P394" s="178" t="b">
        <f t="shared" ref="P394" si="451">L394&gt;D394</f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" si="452">I394-R394</f>
        <v>145116.33999999997</v>
      </c>
      <c r="T394" s="170">
        <v>-31864</v>
      </c>
      <c r="U394" s="170">
        <f t="shared" ref="U394" si="453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363"/>
        <v>598</v>
      </c>
      <c r="B395" s="169">
        <v>42831</v>
      </c>
      <c r="C395" s="211">
        <v>2357.4899999999998</v>
      </c>
      <c r="D395" s="168">
        <f t="shared" si="445"/>
        <v>1.9294927644021181E-3</v>
      </c>
      <c r="E395" s="205">
        <f t="shared" ref="E395" si="454">(C395-$C$2)/$C$2</f>
        <v>0.12131142862578705</v>
      </c>
      <c r="F395" s="215">
        <v>5878.95</v>
      </c>
      <c r="G395" s="168">
        <f t="shared" si="402"/>
        <v>2.4691063301542277E-3</v>
      </c>
      <c r="H395" s="199">
        <f t="shared" ref="H395" si="455">(F395-F$2)/F$2</f>
        <v>0.15461437241000059</v>
      </c>
      <c r="I395" s="217">
        <v>424138.1</v>
      </c>
      <c r="J395" s="170">
        <v>400000</v>
      </c>
      <c r="K395" s="170">
        <f t="shared" ref="K395" si="456">I395-I394-J395+J394</f>
        <v>3044.8099999999977</v>
      </c>
      <c r="L395" s="168">
        <f t="shared" si="394"/>
        <v>7.2307255240281736E-3</v>
      </c>
      <c r="M395" s="178">
        <f t="shared" ref="M395" si="457">I395-J395</f>
        <v>24138.099999999977</v>
      </c>
      <c r="N395" s="180">
        <f t="shared" ref="N395" si="458">M395/J395</f>
        <v>6.0345249999999941E-2</v>
      </c>
      <c r="O395" s="179">
        <f t="shared" si="424"/>
        <v>3.6858031040969866E-2</v>
      </c>
      <c r="P395" s="178" t="b">
        <f t="shared" ref="P395" si="459">L395&gt;D395</f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ref="S395" si="460">I395-R395</f>
        <v>145718.79999999999</v>
      </c>
      <c r="T395" s="170">
        <v>-32100</v>
      </c>
      <c r="U395" s="170">
        <f t="shared" ref="U395" si="461">M395-T395</f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363"/>
        <v>599</v>
      </c>
      <c r="B396" s="169">
        <v>42832</v>
      </c>
      <c r="C396" s="211">
        <v>2355.54</v>
      </c>
      <c r="D396" s="168">
        <f t="shared" si="445"/>
        <v>-8.2715091050219439E-4</v>
      </c>
      <c r="E396" s="205">
        <f t="shared" ref="E396" si="462">(C396-$C$2)/$C$2</f>
        <v>0.12038393485664271</v>
      </c>
      <c r="F396" s="215">
        <v>5877.81</v>
      </c>
      <c r="G396" s="168">
        <f t="shared" si="402"/>
        <v>-1.9391217819498687E-4</v>
      </c>
      <c r="H396" s="199">
        <f t="shared" ref="H396" si="463">(F396-F$2)/F$2</f>
        <v>0.15439047862207134</v>
      </c>
      <c r="I396" s="217">
        <v>423331.5</v>
      </c>
      <c r="J396" s="170">
        <v>400000</v>
      </c>
      <c r="K396" s="170">
        <f t="shared" ref="K396" si="464">I396-I395-J396+J395</f>
        <v>-806.59999999997672</v>
      </c>
      <c r="L396" s="168">
        <f t="shared" si="394"/>
        <v>-1.901739079794946E-3</v>
      </c>
      <c r="M396" s="178">
        <f t="shared" ref="M396" si="465">I396-J396</f>
        <v>23331.5</v>
      </c>
      <c r="N396" s="180">
        <f t="shared" ref="N396" si="466">M396/J396</f>
        <v>5.8328749999999999E-2</v>
      </c>
      <c r="O396" s="179">
        <f t="shared" si="424"/>
        <v>3.5566904737061769E-2</v>
      </c>
      <c r="P396" s="178" t="b">
        <f t="shared" ref="P396" si="467">L396&gt;D396</f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ref="S396" si="468">I396-R396</f>
        <v>142532.79999999999</v>
      </c>
      <c r="T396" s="170">
        <v>-32984</v>
      </c>
      <c r="U396" s="170">
        <f t="shared" ref="U396" si="469">M396-T396</f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363"/>
        <v>602</v>
      </c>
      <c r="B397" s="238">
        <v>42835</v>
      </c>
      <c r="C397" s="327">
        <v>2357.16</v>
      </c>
      <c r="D397" s="168">
        <f t="shared" si="445"/>
        <v>6.8774039073838311E-4</v>
      </c>
      <c r="E397" s="240">
        <f t="shared" ref="E397" si="470">(C397-$C$2)/$C$2</f>
        <v>0.12115446814177802</v>
      </c>
      <c r="F397" s="241">
        <v>5880.92</v>
      </c>
      <c r="G397" s="168">
        <f t="shared" si="402"/>
        <v>5.2910863059535309E-4</v>
      </c>
      <c r="H397" s="242">
        <f t="shared" ref="H397" si="471">(F397-F$2)/F$2</f>
        <v>0.15500127658738738</v>
      </c>
      <c r="I397" s="539">
        <v>425409.3</v>
      </c>
      <c r="J397" s="244">
        <v>400000</v>
      </c>
      <c r="K397" s="244">
        <f t="shared" ref="K397" si="472">I397-I396-J397+J396</f>
        <v>2077.7999999999884</v>
      </c>
      <c r="L397" s="168">
        <f t="shared" si="394"/>
        <v>4.9082102324064904E-3</v>
      </c>
      <c r="M397" s="572">
        <f t="shared" ref="M397" si="473">I397-J397</f>
        <v>25409.299999999988</v>
      </c>
      <c r="N397" s="246">
        <f t="shared" ref="N397" si="474">M397/J397</f>
        <v>6.3523249999999976E-2</v>
      </c>
      <c r="O397" s="179">
        <f t="shared" si="424"/>
        <v>3.854130741279068E-2</v>
      </c>
      <c r="P397" s="245" t="b">
        <f t="shared" ref="P397" si="475">L397&gt;D397</f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ref="S397" si="476">I397-R397</f>
        <v>139724.79999999999</v>
      </c>
      <c r="T397" s="244">
        <v>-32983</v>
      </c>
      <c r="U397" s="244">
        <f t="shared" ref="U397" si="477">M397-T397</f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363"/>
        <v>603</v>
      </c>
      <c r="B398" s="238">
        <v>42836</v>
      </c>
      <c r="C398" s="327">
        <v>2353.7800000000002</v>
      </c>
      <c r="D398" s="168">
        <f t="shared" si="445"/>
        <v>-1.4339289653649539E-3</v>
      </c>
      <c r="E398" s="240">
        <f t="shared" ref="E398" si="478">(C398-$C$2)/$C$2</f>
        <v>0.11954681227526119</v>
      </c>
      <c r="F398" s="241">
        <v>5866.77</v>
      </c>
      <c r="G398" s="168">
        <f t="shared" si="402"/>
        <v>-2.4060861225793984E-3</v>
      </c>
      <c r="H398" s="242">
        <f t="shared" ref="H398" si="479">(F398-F$2)/F$2</f>
        <v>0.15222224404422896</v>
      </c>
      <c r="I398" s="539">
        <v>423985</v>
      </c>
      <c r="J398" s="244">
        <v>400000</v>
      </c>
      <c r="K398" s="244">
        <f t="shared" ref="K398" si="480">I398-I397-J398+J397</f>
        <v>-1424.2999999999884</v>
      </c>
      <c r="L398" s="168">
        <f t="shared" si="394"/>
        <v>-3.3480697295521947E-3</v>
      </c>
      <c r="M398" s="572">
        <f t="shared" ref="M398" si="481">I398-J398</f>
        <v>23985</v>
      </c>
      <c r="N398" s="246">
        <f t="shared" ref="N398" si="482">M398/J398</f>
        <v>5.9962500000000002E-2</v>
      </c>
      <c r="O398" s="179">
        <f t="shared" si="424"/>
        <v>3.6320569029850744E-2</v>
      </c>
      <c r="P398" s="245" t="b">
        <f t="shared" ref="P398" si="483">L398&gt;D398</f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ref="S398" si="484">I398-R398</f>
        <v>132039.79999999999</v>
      </c>
      <c r="T398" s="244">
        <v>-32982</v>
      </c>
      <c r="U398" s="244">
        <f t="shared" ref="U398" si="485">M398-T398</f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363"/>
        <v>604</v>
      </c>
      <c r="B399" s="238">
        <v>42837</v>
      </c>
      <c r="C399" s="327">
        <v>2344.9299999999998</v>
      </c>
      <c r="D399" s="168">
        <f t="shared" ref="D399:D401" si="486">(C399-C398)/C398</f>
        <v>-3.7599095922305243E-3</v>
      </c>
      <c r="E399" s="240">
        <f t="shared" ref="E399" si="487">(C399-$C$2)/$C$2</f>
        <v>0.11533741747683633</v>
      </c>
      <c r="F399" s="241">
        <v>5836.16</v>
      </c>
      <c r="G399" s="168">
        <f t="shared" si="402"/>
        <v>-5.2175217368331432E-3</v>
      </c>
      <c r="H399" s="242">
        <f t="shared" ref="H399" si="488">(F399-F$2)/F$2</f>
        <v>0.14621049944026554</v>
      </c>
      <c r="I399" s="539">
        <v>422212.73</v>
      </c>
      <c r="J399" s="244">
        <v>400000</v>
      </c>
      <c r="K399" s="244">
        <f t="shared" ref="K399" si="489">I399-I398-J399+J398</f>
        <v>-1772.2700000000186</v>
      </c>
      <c r="L399" s="168">
        <f t="shared" si="394"/>
        <v>-4.1800299538899219E-3</v>
      </c>
      <c r="M399" s="572">
        <f t="shared" ref="M399" si="490">I399-J399</f>
        <v>22212.729999999981</v>
      </c>
      <c r="N399" s="246">
        <f t="shared" ref="N399" si="491">M399/J399</f>
        <v>5.5531824999999951E-2</v>
      </c>
      <c r="O399" s="179">
        <f t="shared" si="424"/>
        <v>3.3581124306705269E-2</v>
      </c>
      <c r="P399" s="245" t="b">
        <f t="shared" ref="P399" si="492">L399&gt;D399</f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ref="S399" si="493">I399-R399</f>
        <v>130266.52999999997</v>
      </c>
      <c r="T399" s="244">
        <v>-32526</v>
      </c>
      <c r="U399" s="244">
        <f t="shared" ref="U399" si="494">M399-T399</f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363"/>
        <v>605</v>
      </c>
      <c r="B400" s="238">
        <v>42838</v>
      </c>
      <c r="C400" s="327">
        <v>2328.9499999999998</v>
      </c>
      <c r="D400" s="168">
        <f t="shared" si="486"/>
        <v>-6.8147023578529076E-3</v>
      </c>
      <c r="E400" s="240">
        <f t="shared" ref="E400" si="495">(C400-$C$2)/$C$2</f>
        <v>0.10773672494815537</v>
      </c>
      <c r="F400" s="241">
        <v>5805.15</v>
      </c>
      <c r="G400" s="168">
        <f t="shared" si="402"/>
        <v>-5.3134252659283194E-3</v>
      </c>
      <c r="H400" s="242">
        <f t="shared" ref="H400" si="496">(F400-F$2)/F$2</f>
        <v>0.14012019561246733</v>
      </c>
      <c r="I400" s="539">
        <v>418306.53</v>
      </c>
      <c r="J400" s="244">
        <v>400000</v>
      </c>
      <c r="K400" s="244">
        <f t="shared" ref="K400" si="497">I400-I399-J400+J399</f>
        <v>-3906.1999999999534</v>
      </c>
      <c r="L400" s="168">
        <f t="shared" si="394"/>
        <v>-9.2517343093846405E-3</v>
      </c>
      <c r="M400" s="572">
        <f t="shared" ref="M400" si="498">I400-J400</f>
        <v>18306.530000000028</v>
      </c>
      <c r="N400" s="246">
        <f t="shared" ref="N400" si="499">M400/J400</f>
        <v>4.5766325000000073E-2</v>
      </c>
      <c r="O400" s="179">
        <f t="shared" si="424"/>
        <v>2.7630000340909136E-2</v>
      </c>
      <c r="P400" s="245" t="b">
        <f t="shared" ref="P400" si="500">L400&gt;D400</f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ref="S400" si="501">I400-R400</f>
        <v>132065.73000000004</v>
      </c>
      <c r="T400" s="244">
        <v>-33099</v>
      </c>
      <c r="U400" s="244">
        <f t="shared" ref="U400" si="502">M400-T400</f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363"/>
        <v>609</v>
      </c>
      <c r="B401" s="169">
        <v>42842</v>
      </c>
      <c r="C401" s="211">
        <v>2349.0100000000002</v>
      </c>
      <c r="D401" s="168">
        <f t="shared" si="486"/>
        <v>8.6133236007644651E-3</v>
      </c>
      <c r="E401" s="205">
        <f t="shared" ref="E401" si="503">(C401-$C$2)/$C$2</f>
        <v>0.11727801982458484</v>
      </c>
      <c r="F401" s="215">
        <v>5856.78</v>
      </c>
      <c r="G401" s="168">
        <f t="shared" si="402"/>
        <v>8.8938270328932263E-3</v>
      </c>
      <c r="H401" s="199">
        <f t="shared" ref="H401" si="504">(F401-F$2)/F$2</f>
        <v>0.15026022742895298</v>
      </c>
      <c r="I401" s="217">
        <v>420202.33</v>
      </c>
      <c r="J401" s="170">
        <v>400000</v>
      </c>
      <c r="K401" s="170">
        <f t="shared" ref="K401" si="505">I401-I400-J401+J400</f>
        <v>1895.7999999999884</v>
      </c>
      <c r="L401" s="168">
        <f t="shared" si="394"/>
        <v>4.5320832070204313E-3</v>
      </c>
      <c r="M401" s="178">
        <f t="shared" ref="M401" si="506">I401-J401</f>
        <v>20202.330000000016</v>
      </c>
      <c r="N401" s="180">
        <f t="shared" ref="N401" si="507">M401/J401</f>
        <v>5.0505825000000039E-2</v>
      </c>
      <c r="O401" s="179">
        <f t="shared" si="424"/>
        <v>3.0291055141625639E-2</v>
      </c>
      <c r="P401" s="178" t="b">
        <f t="shared" ref="P401" si="508">L401&gt;D401</f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ref="S401" si="509">I401-R401</f>
        <v>132065.73000000004</v>
      </c>
      <c r="T401" s="170">
        <v>-32580</v>
      </c>
      <c r="U401" s="170">
        <f t="shared" ref="U401" si="510">M401-T401</f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363"/>
        <v>610</v>
      </c>
      <c r="B402" s="169">
        <v>42843</v>
      </c>
      <c r="C402" s="211">
        <v>2342.19</v>
      </c>
      <c r="D402" s="168">
        <f t="shared" ref="D402" si="511">(C402-C401)/C401</f>
        <v>-2.9033507733045678E-3</v>
      </c>
      <c r="E402" s="205">
        <f t="shared" ref="E402" si="512">(C402-$C$2)/$C$2</f>
        <v>0.11403416982173094</v>
      </c>
      <c r="F402" s="215">
        <v>5849.47</v>
      </c>
      <c r="G402" s="168">
        <f t="shared" ref="G402" si="513">(F402-F401)/F401</f>
        <v>-1.2481261034219299E-3</v>
      </c>
      <c r="H402" s="199">
        <f t="shared" ref="H402" si="514">(F402-F$2)/F$2</f>
        <v>0.14882455761337088</v>
      </c>
      <c r="I402" s="217">
        <v>417764.53</v>
      </c>
      <c r="J402" s="170">
        <v>400000</v>
      </c>
      <c r="K402" s="170">
        <f t="shared" ref="K402" si="515">I402-I401-J402+J401</f>
        <v>-2437.7999999999884</v>
      </c>
      <c r="L402" s="168">
        <f t="shared" ref="L402:L406" si="516">K402/I401</f>
        <v>-5.801490915102704E-3</v>
      </c>
      <c r="M402" s="178">
        <f t="shared" ref="M402" si="517">I402-J402</f>
        <v>17764.530000000028</v>
      </c>
      <c r="N402" s="180">
        <f t="shared" ref="N402" si="518">M402/J402</f>
        <v>4.4411325000000071E-2</v>
      </c>
      <c r="O402" s="179">
        <f t="shared" si="424"/>
        <v>2.6592190911885288E-2</v>
      </c>
      <c r="P402" s="178" t="b">
        <f t="shared" ref="P402" si="519">L402&gt;D402</f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ref="S402" si="520">I402-R402</f>
        <v>127111.33000000002</v>
      </c>
      <c r="T402" s="170">
        <v>-32684</v>
      </c>
      <c r="U402" s="170">
        <f t="shared" ref="U402" si="521">M402-T402</f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363"/>
        <v>611</v>
      </c>
      <c r="B403" s="169">
        <v>42844</v>
      </c>
      <c r="C403" s="211">
        <v>2338.17</v>
      </c>
      <c r="D403" s="168">
        <f t="shared" ref="D403:D406" si="522">(C403-C402)/C402</f>
        <v>-1.716342397499768E-3</v>
      </c>
      <c r="E403" s="205">
        <f t="shared" ref="E403" si="523">(C403-$C$2)/$C$2</f>
        <v>0.11212210574380245</v>
      </c>
      <c r="F403" s="215">
        <v>5863.03</v>
      </c>
      <c r="G403" s="168">
        <f t="shared" ref="G403:G406" si="524">(F403-F402)/F402</f>
        <v>2.3181587391677347E-3</v>
      </c>
      <c r="H403" s="199">
        <f t="shared" ref="H403" si="525">(F403-F$2)/F$2</f>
        <v>0.15148771530137281</v>
      </c>
      <c r="I403" s="217">
        <v>412053.83</v>
      </c>
      <c r="J403" s="170">
        <v>400000</v>
      </c>
      <c r="K403" s="170">
        <f t="shared" ref="K403" si="526">I403-I402-J403+J402</f>
        <v>-5710.7000000000116</v>
      </c>
      <c r="L403" s="168">
        <f t="shared" si="516"/>
        <v>-1.3669662189846542E-2</v>
      </c>
      <c r="M403" s="178">
        <f t="shared" ref="M403" si="527">I403-J403</f>
        <v>12053.830000000016</v>
      </c>
      <c r="N403" s="180">
        <f t="shared" ref="N403" si="528">M403/J403</f>
        <v>3.0134575000000042E-2</v>
      </c>
      <c r="O403" s="179">
        <f t="shared" si="424"/>
        <v>1.801416287847793E-2</v>
      </c>
      <c r="P403" s="178" t="b">
        <f t="shared" ref="P403" si="529">L403&gt;D403</f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ref="S403" si="530">I403-R403</f>
        <v>122039.33000000002</v>
      </c>
      <c r="T403" s="170">
        <v>-34379</v>
      </c>
      <c r="U403" s="170">
        <f t="shared" ref="U403" si="531">M403-T403</f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363"/>
        <v>612</v>
      </c>
      <c r="B404" s="169">
        <v>42845</v>
      </c>
      <c r="C404" s="211">
        <v>2355.84</v>
      </c>
      <c r="D404" s="168">
        <f t="shared" si="522"/>
        <v>7.5571921631019442E-3</v>
      </c>
      <c r="E404" s="205">
        <f t="shared" ref="E404" si="532">(C404-$C$2)/$C$2</f>
        <v>0.12052662620574194</v>
      </c>
      <c r="F404" s="215">
        <v>5916.77</v>
      </c>
      <c r="G404" s="168">
        <f t="shared" si="524"/>
        <v>9.1659090947855786E-3</v>
      </c>
      <c r="H404" s="199">
        <f t="shared" ref="H404" si="533">(F404-F$2)/F$2</f>
        <v>0.16204214702358755</v>
      </c>
      <c r="I404" s="217">
        <v>413381.09</v>
      </c>
      <c r="J404" s="170">
        <v>400000</v>
      </c>
      <c r="K404" s="170">
        <f t="shared" ref="K404" si="534">I404-I403-J404+J403</f>
        <v>1327.2600000000093</v>
      </c>
      <c r="L404" s="168">
        <f t="shared" si="516"/>
        <v>3.2210840025440591E-3</v>
      </c>
      <c r="M404" s="178">
        <f t="shared" ref="M404" si="535">I404-J404</f>
        <v>13381.090000000026</v>
      </c>
      <c r="N404" s="180">
        <f t="shared" ref="N404" si="536">M404/J404</f>
        <v>3.3452725000000065E-2</v>
      </c>
      <c r="O404" s="179">
        <f t="shared" si="424"/>
        <v>1.996504543504906E-2</v>
      </c>
      <c r="P404" s="178" t="b">
        <f t="shared" ref="P404" si="537">L404&gt;D404</f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ref="S404" si="538">I404-R404</f>
        <v>126625.29000000004</v>
      </c>
      <c r="T404" s="170">
        <v>-34560</v>
      </c>
      <c r="U404" s="170">
        <f t="shared" ref="U404" si="539">M404-T404</f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363"/>
        <v>613</v>
      </c>
      <c r="B405" s="169">
        <v>42846</v>
      </c>
      <c r="C405" s="211">
        <v>2348.69</v>
      </c>
      <c r="D405" s="168">
        <f t="shared" si="522"/>
        <v>-3.035010866612372E-3</v>
      </c>
      <c r="E405" s="205">
        <f t="shared" ref="E405" si="540">(C405-$C$2)/$C$2</f>
        <v>0.11712581571887902</v>
      </c>
      <c r="F405" s="215">
        <v>5910.52</v>
      </c>
      <c r="G405" s="168">
        <f t="shared" si="524"/>
        <v>-1.0563195797707195E-3</v>
      </c>
      <c r="H405" s="199">
        <f t="shared" ref="H405" si="541">(F405-F$2)/F$2</f>
        <v>0.16081465915116772</v>
      </c>
      <c r="I405" s="217">
        <v>413138.88</v>
      </c>
      <c r="J405" s="170">
        <v>400000</v>
      </c>
      <c r="K405" s="170">
        <f t="shared" ref="K405" si="542">I405-I404-J405+J404</f>
        <v>-242.21000000002095</v>
      </c>
      <c r="L405" s="168">
        <f t="shared" si="516"/>
        <v>-5.8592423760850051E-4</v>
      </c>
      <c r="M405" s="178">
        <f t="shared" ref="M405" si="543">I405-J405</f>
        <v>13138.880000000005</v>
      </c>
      <c r="N405" s="180">
        <f t="shared" ref="N405" si="544">M405/J405</f>
        <v>3.2847200000000014E-2</v>
      </c>
      <c r="O405" s="179">
        <f t="shared" si="424"/>
        <v>1.9571679934747153E-2</v>
      </c>
      <c r="P405" s="178" t="b">
        <f t="shared" ref="P405" si="545">L405&gt;D405</f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ref="S405" si="546">I405-R405</f>
        <v>115671.28000000003</v>
      </c>
      <c r="T405" s="170">
        <v>-34397</v>
      </c>
      <c r="U405" s="170">
        <f t="shared" ref="U405" si="547">M405-T405</f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363"/>
        <v>616</v>
      </c>
      <c r="B406" s="238">
        <v>42849</v>
      </c>
      <c r="C406" s="327">
        <v>2374.15</v>
      </c>
      <c r="D406" s="168">
        <f t="shared" si="522"/>
        <v>1.084008532415944E-2</v>
      </c>
      <c r="E406" s="240">
        <f t="shared" ref="E406" si="548">(C406-$C$2)/$C$2</f>
        <v>0.12923555487909288</v>
      </c>
      <c r="F406" s="241">
        <v>5983.81</v>
      </c>
      <c r="G406" s="168">
        <f t="shared" si="524"/>
        <v>1.2399924202946604E-2</v>
      </c>
      <c r="H406" s="242">
        <f t="shared" ref="H406" si="549">(F406-F$2)/F$2</f>
        <v>0.17520867293831149</v>
      </c>
      <c r="I406" s="539">
        <v>413141.03</v>
      </c>
      <c r="J406" s="244">
        <v>400000</v>
      </c>
      <c r="K406" s="244">
        <f t="shared" ref="K406" si="550">I406-I405-J406+J405</f>
        <v>2.1500000000232831</v>
      </c>
      <c r="L406" s="168">
        <f t="shared" si="516"/>
        <v>5.2040611622495641E-6</v>
      </c>
      <c r="M406" s="572">
        <f t="shared" ref="M406" si="551">I406-J406</f>
        <v>13141.030000000028</v>
      </c>
      <c r="N406" s="246">
        <f t="shared" ref="N406" si="552">M406/J406</f>
        <v>3.2852575000000071E-2</v>
      </c>
      <c r="O406" s="179">
        <f t="shared" si="424"/>
        <v>1.9479550355113676E-2</v>
      </c>
      <c r="P406" s="245" t="b">
        <f t="shared" ref="P406" si="553">L406&gt;D406</f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ref="S406" si="554">I406-R406</f>
        <v>115678.43000000005</v>
      </c>
      <c r="T406" s="244">
        <v>-34227</v>
      </c>
      <c r="U406" s="244">
        <f t="shared" ref="U406" si="555">M406-T406</f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363"/>
        <v>617</v>
      </c>
      <c r="B407" s="238">
        <v>42850</v>
      </c>
      <c r="C407" s="327">
        <v>2388.61</v>
      </c>
      <c r="D407" s="168">
        <f t="shared" ref="D407" si="556">(C407-C406)/C406</f>
        <v>6.0906008466188053E-3</v>
      </c>
      <c r="E407" s="240">
        <f t="shared" ref="E407" si="557">(C407-$C$2)/$C$2</f>
        <v>0.13611327790567154</v>
      </c>
      <c r="F407" s="241">
        <v>6025.49</v>
      </c>
      <c r="G407" s="168">
        <f t="shared" ref="G407" si="558">(F407-F406)/F406</f>
        <v>6.9654618044355313E-3</v>
      </c>
      <c r="H407" s="242">
        <f t="shared" ref="H407" si="559">(F407-F$2)/F$2</f>
        <v>0.18339454406190467</v>
      </c>
      <c r="I407" s="539">
        <v>416914.62</v>
      </c>
      <c r="J407" s="244">
        <v>400000</v>
      </c>
      <c r="K407" s="244">
        <f t="shared" ref="K407" si="560">I407-I406-J407+J406</f>
        <v>3773.5899999999674</v>
      </c>
      <c r="L407" s="168">
        <f t="shared" ref="L407:L411" si="561">K407/I406</f>
        <v>9.1339027740720089E-3</v>
      </c>
      <c r="M407" s="572">
        <f t="shared" ref="M407" si="562">I407-J407</f>
        <v>16914.619999999995</v>
      </c>
      <c r="N407" s="246">
        <f t="shared" ref="N407" si="563">M407/J407</f>
        <v>4.2286549999999985E-2</v>
      </c>
      <c r="O407" s="179">
        <f t="shared" si="424"/>
        <v>2.5032678099675843E-2</v>
      </c>
      <c r="P407" s="245" t="b">
        <f t="shared" ref="P407" si="564">L407&gt;D407</f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ref="S407" si="565">I407-R407</f>
        <v>120597.12</v>
      </c>
      <c r="T407" s="244">
        <v>-34395</v>
      </c>
      <c r="U407" s="244">
        <f t="shared" ref="U407" si="566">M407-T407</f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363"/>
        <v>618</v>
      </c>
      <c r="B408" s="238">
        <v>42851</v>
      </c>
      <c r="C408" s="327">
        <v>2387.4499999999998</v>
      </c>
      <c r="D408" s="168">
        <f t="shared" ref="D408" si="567">(C408-C407)/C407</f>
        <v>-4.8563809077258708E-4</v>
      </c>
      <c r="E408" s="240">
        <f t="shared" ref="E408" si="568">(C408-$C$2)/$C$2</f>
        <v>0.13556153802248805</v>
      </c>
      <c r="F408" s="241">
        <v>6025.22</v>
      </c>
      <c r="G408" s="168">
        <f t="shared" ref="G408:G411" si="569">(F408-F407)/F407</f>
        <v>-4.4809633739252256E-5</v>
      </c>
      <c r="H408" s="242">
        <f t="shared" ref="H408" si="570">(F408-F$2)/F$2</f>
        <v>0.18334151658581621</v>
      </c>
      <c r="I408" s="539">
        <v>415083.58</v>
      </c>
      <c r="J408" s="244">
        <v>400000</v>
      </c>
      <c r="K408" s="244">
        <f t="shared" ref="K408" si="571">I408-I407-J408+J407</f>
        <v>-1831.039999999979</v>
      </c>
      <c r="L408" s="168">
        <f t="shared" si="561"/>
        <v>-4.3918824434604356E-3</v>
      </c>
      <c r="M408" s="572">
        <f t="shared" ref="M408" si="572">I408-J408</f>
        <v>15083.580000000016</v>
      </c>
      <c r="N408" s="246">
        <f t="shared" ref="N408" si="573">M408/J408</f>
        <v>3.770895000000004E-2</v>
      </c>
      <c r="O408" s="179">
        <f t="shared" si="424"/>
        <v>2.2286721662621384E-2</v>
      </c>
      <c r="P408" s="245" t="b">
        <f t="shared" ref="P408" si="574">L408&gt;D408</f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ref="S408" si="575">I408-R408</f>
        <v>126993.98000000004</v>
      </c>
      <c r="T408" s="244">
        <v>-34530</v>
      </c>
      <c r="U408" s="244">
        <f t="shared" ref="U408" si="576">M408-T408</f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363"/>
        <v>619</v>
      </c>
      <c r="B409" s="238">
        <v>42852</v>
      </c>
      <c r="C409" s="327">
        <v>2388.77</v>
      </c>
      <c r="D409" s="168">
        <f t="shared" ref="D409:D411" si="577">(C409-C408)/C408</f>
        <v>5.5289116002436227E-4</v>
      </c>
      <c r="E409" s="240">
        <f t="shared" ref="E409" si="578">(C409-$C$2)/$C$2</f>
        <v>0.13618937995852434</v>
      </c>
      <c r="F409" s="241">
        <v>6048.93</v>
      </c>
      <c r="G409" s="168">
        <f t="shared" si="569"/>
        <v>3.9351260202947005E-3</v>
      </c>
      <c r="H409" s="242">
        <f t="shared" ref="H409" si="579">(F409-F$2)/F$2</f>
        <v>0.18799811457862806</v>
      </c>
      <c r="I409" s="539">
        <v>412891.26</v>
      </c>
      <c r="J409" s="244">
        <v>400000</v>
      </c>
      <c r="K409" s="244">
        <f t="shared" ref="K409" si="580">I409-I408-J409+J408</f>
        <v>-2192.320000000007</v>
      </c>
      <c r="L409" s="168">
        <f t="shared" si="561"/>
        <v>-5.2816350866011297E-3</v>
      </c>
      <c r="M409" s="572">
        <f t="shared" ref="M409" si="581">I409-J409</f>
        <v>12891.260000000009</v>
      </c>
      <c r="N409" s="246">
        <f t="shared" ref="N409" si="582">M409/J409</f>
        <v>3.2228150000000025E-2</v>
      </c>
      <c r="O409" s="179">
        <f t="shared" si="424"/>
        <v>1.9016691094507286E-2</v>
      </c>
      <c r="P409" s="245" t="b">
        <f t="shared" ref="P409" si="583">L409&gt;D409</f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ref="S409" si="584">I409-R409</f>
        <v>124800.66000000003</v>
      </c>
      <c r="T409" s="244">
        <v>-34529</v>
      </c>
      <c r="U409" s="244">
        <f t="shared" ref="U409" si="585">M409-T409</f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363"/>
        <v>620</v>
      </c>
      <c r="B410" s="238">
        <v>42853</v>
      </c>
      <c r="C410" s="327">
        <v>2384.1999999999998</v>
      </c>
      <c r="D410" s="168">
        <f t="shared" si="577"/>
        <v>-1.913118466826092E-3</v>
      </c>
      <c r="E410" s="240">
        <f t="shared" ref="E410" si="586">(C410-$C$2)/$C$2</f>
        <v>0.13401571507391399</v>
      </c>
      <c r="F410" s="241">
        <v>6047.6</v>
      </c>
      <c r="G410" s="168">
        <f t="shared" si="569"/>
        <v>-2.1987359747921155E-4</v>
      </c>
      <c r="H410" s="242">
        <f t="shared" ref="H410" si="587">(F410-F$2)/F$2</f>
        <v>0.18773690515937713</v>
      </c>
      <c r="I410" s="638">
        <v>363198.65</v>
      </c>
      <c r="J410" s="244">
        <v>350000</v>
      </c>
      <c r="K410" s="244">
        <f t="shared" ref="K410" si="588">I410-I409-J410+J409</f>
        <v>307.39000000001397</v>
      </c>
      <c r="L410" s="168">
        <f t="shared" si="561"/>
        <v>7.4448173109795048E-4</v>
      </c>
      <c r="M410" s="405">
        <f t="shared" ref="M410" si="589">I410-J410</f>
        <v>13198.650000000023</v>
      </c>
      <c r="N410" s="246">
        <f t="shared" ref="N410" si="590">M410/J410</f>
        <v>3.7710428571428638E-2</v>
      </c>
      <c r="O410" s="179">
        <f t="shared" si="424"/>
        <v>2.2215700057603725E-2</v>
      </c>
      <c r="P410" s="245" t="b">
        <f t="shared" ref="P410" si="591">L410&gt;D410</f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ref="S410" si="592">I410-R410</f>
        <v>82142.450000000012</v>
      </c>
      <c r="T410" s="244">
        <v>-33907</v>
      </c>
      <c r="U410" s="244">
        <f t="shared" ref="U410" si="593">M410-T410</f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363"/>
        <v>623</v>
      </c>
      <c r="B411" s="169">
        <v>42856</v>
      </c>
      <c r="C411" s="211">
        <v>2388.33</v>
      </c>
      <c r="D411" s="168">
        <f t="shared" si="577"/>
        <v>1.7322372284204804E-3</v>
      </c>
      <c r="E411" s="205">
        <f t="shared" ref="E411" si="594">(C411-$C$2)/$C$2</f>
        <v>0.13598009931317892</v>
      </c>
      <c r="F411" s="215">
        <v>6091.6</v>
      </c>
      <c r="G411" s="168">
        <f t="shared" si="569"/>
        <v>7.2756134664991069E-3</v>
      </c>
      <c r="H411" s="199">
        <f t="shared" ref="H411" si="595">(F411-F$2)/F$2</f>
        <v>0.19637841978121268</v>
      </c>
      <c r="I411" s="217">
        <v>362499.32</v>
      </c>
      <c r="J411" s="170">
        <v>350000</v>
      </c>
      <c r="K411" s="170">
        <f t="shared" ref="K411" si="596">I411-I410-J411+J410</f>
        <v>-699.3300000000163</v>
      </c>
      <c r="L411" s="168">
        <f t="shared" si="561"/>
        <v>-1.9254752185891007E-3</v>
      </c>
      <c r="M411" s="178">
        <f t="shared" ref="M411" si="597">I411-J411</f>
        <v>12499.320000000007</v>
      </c>
      <c r="N411" s="180">
        <f t="shared" ref="N411" si="598">M411/J411</f>
        <v>3.5712342857142879E-2</v>
      </c>
      <c r="O411" s="179">
        <f t="shared" si="424"/>
        <v>2.0937292501719801E-2</v>
      </c>
      <c r="P411" s="178" t="b">
        <f t="shared" ref="P411" si="599">L411&gt;D411</f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ref="S411" si="600">I411-R411</f>
        <v>86672.419999999984</v>
      </c>
      <c r="T411" s="170">
        <v>-33709</v>
      </c>
      <c r="U411" s="170">
        <f t="shared" ref="U411" si="601">M411-T411</f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602">E411/(A411/365.25)/V411</f>
        <v>0.52827581914664401</v>
      </c>
      <c r="Y411" s="171">
        <f t="shared" ref="Y411:Y474" si="603">O411/W411</f>
        <v>6.4181339519696803E-2</v>
      </c>
      <c r="Z411" s="784">
        <f t="shared" ref="Z411:Z474" si="604">-(E411-N411)</f>
        <v>-0.10026775645603604</v>
      </c>
    </row>
    <row r="412" spans="1:26" ht="20.100000000000001" customHeight="1" x14ac:dyDescent="0.25">
      <c r="A412" s="160">
        <f t="shared" si="363"/>
        <v>624</v>
      </c>
      <c r="B412" s="169">
        <v>42857</v>
      </c>
      <c r="C412" s="211">
        <v>2391.17</v>
      </c>
      <c r="D412" s="168">
        <f t="shared" ref="D412" si="605">(C412-C411)/C411</f>
        <v>1.1891154069999311E-3</v>
      </c>
      <c r="E412" s="205">
        <f t="shared" ref="E412" si="606">(C412-$C$2)/$C$2</f>
        <v>0.13733091075131751</v>
      </c>
      <c r="F412" s="215">
        <v>6095.36</v>
      </c>
      <c r="G412" s="168">
        <f t="shared" ref="G412:G441" si="607">(F412-F411)/F411</f>
        <v>6.1724341716450667E-4</v>
      </c>
      <c r="H412" s="199">
        <f t="shared" ref="H412" si="608">(F412-F$2)/F$2</f>
        <v>0.1971168764852603</v>
      </c>
      <c r="I412" s="217">
        <v>359669.82</v>
      </c>
      <c r="J412" s="170">
        <v>350000</v>
      </c>
      <c r="K412" s="170">
        <f t="shared" ref="K412" si="609">I412-I411-J412+J411</f>
        <v>-2829.5</v>
      </c>
      <c r="L412" s="168">
        <f t="shared" ref="L412:L441" si="610">K412/I411</f>
        <v>-7.8055318834804989E-3</v>
      </c>
      <c r="M412" s="178">
        <f t="shared" ref="M412" si="611">I412-J412</f>
        <v>9669.820000000007</v>
      </c>
      <c r="N412" s="180">
        <f t="shared" ref="N412" si="612">M412/J412</f>
        <v>2.7628057142857161E-2</v>
      </c>
      <c r="O412" s="179">
        <f t="shared" si="424"/>
        <v>1.6171711332417592E-2</v>
      </c>
      <c r="P412" s="178" t="b">
        <f t="shared" ref="P412" si="613">L412&gt;D412</f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ref="S412" si="614">I412-R412</f>
        <v>81255.419999999984</v>
      </c>
      <c r="T412" s="170">
        <v>-34708</v>
      </c>
      <c r="U412" s="170">
        <f t="shared" ref="U412" si="615">M412-T412</f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602"/>
        <v>0.53331602984880633</v>
      </c>
      <c r="Y412" s="171">
        <f t="shared" si="603"/>
        <v>4.9623666361723308E-2</v>
      </c>
      <c r="Z412" s="784">
        <f t="shared" si="604"/>
        <v>-0.10970285360846035</v>
      </c>
    </row>
    <row r="413" spans="1:26" ht="20.100000000000001" customHeight="1" x14ac:dyDescent="0.25">
      <c r="A413" s="160">
        <f t="shared" si="363"/>
        <v>625</v>
      </c>
      <c r="B413" s="169">
        <v>42858</v>
      </c>
      <c r="C413" s="211">
        <v>2388.13</v>
      </c>
      <c r="D413" s="168">
        <f t="shared" ref="D413" si="616">(C413-C412)/C412</f>
        <v>-1.2713441536988017E-3</v>
      </c>
      <c r="E413" s="205">
        <f t="shared" ref="E413" si="617">(C413-$C$2)/$C$2</f>
        <v>0.13588497174711289</v>
      </c>
      <c r="F413" s="215">
        <v>6072.55</v>
      </c>
      <c r="G413" s="168">
        <f t="shared" si="607"/>
        <v>-3.7421907811842929E-3</v>
      </c>
      <c r="H413" s="199">
        <f t="shared" ref="H413" si="618">(F413-F$2)/F$2</f>
        <v>0.19263703674607702</v>
      </c>
      <c r="I413" s="217">
        <v>359426.22</v>
      </c>
      <c r="J413" s="170">
        <v>350000</v>
      </c>
      <c r="K413" s="170">
        <f t="shared" ref="K413" si="619">I413-I412-J413+J412</f>
        <v>-243.60000000003492</v>
      </c>
      <c r="L413" s="168">
        <f t="shared" si="610"/>
        <v>-6.7728785250882302E-4</v>
      </c>
      <c r="M413" s="178">
        <f t="shared" ref="M413" si="620">I413-J413</f>
        <v>9426.2199999999721</v>
      </c>
      <c r="N413" s="180">
        <f t="shared" ref="N413" si="621">M413/J413</f>
        <v>2.6932057142857062E-2</v>
      </c>
      <c r="O413" s="179">
        <f t="shared" si="424"/>
        <v>1.5739094194285666E-2</v>
      </c>
      <c r="P413" s="178" t="b">
        <f t="shared" ref="P413" si="622">L413&gt;D413</f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ref="S413" si="623">I413-R413</f>
        <v>78857.419999999984</v>
      </c>
      <c r="T413" s="170">
        <v>-36065</v>
      </c>
      <c r="U413" s="170">
        <f t="shared" ref="U413" si="624">M413-T413</f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602"/>
        <v>0.52748121967766104</v>
      </c>
      <c r="Y413" s="171">
        <f t="shared" si="603"/>
        <v>4.8354974527723617E-2</v>
      </c>
      <c r="Z413" s="784">
        <f t="shared" si="604"/>
        <v>-0.10895291460425582</v>
      </c>
    </row>
    <row r="414" spans="1:26" ht="20.100000000000001" customHeight="1" x14ac:dyDescent="0.25">
      <c r="A414" s="160">
        <f t="shared" si="363"/>
        <v>626</v>
      </c>
      <c r="B414" s="169">
        <v>42859</v>
      </c>
      <c r="C414" s="211">
        <v>2389.52</v>
      </c>
      <c r="D414" s="168">
        <f t="shared" ref="D414:D426" si="625">(C414-C413)/C413</f>
        <v>5.8204536603948388E-4</v>
      </c>
      <c r="E414" s="205">
        <f t="shared" ref="E414" si="626">(C414-$C$2)/$C$2</f>
        <v>0.1365461083312722</v>
      </c>
      <c r="F414" s="215">
        <v>6075.33</v>
      </c>
      <c r="G414" s="168">
        <f t="shared" si="607"/>
        <v>4.5779779499547063E-4</v>
      </c>
      <c r="H414" s="199">
        <f t="shared" ref="H414" si="627">(F414-F$2)/F$2</f>
        <v>0.19318302335172932</v>
      </c>
      <c r="I414" s="217">
        <v>354486.32</v>
      </c>
      <c r="J414" s="170">
        <v>350000</v>
      </c>
      <c r="K414" s="170">
        <f t="shared" ref="K414" si="628">I414-I413-J414+J413</f>
        <v>-4939.8999999999651</v>
      </c>
      <c r="L414" s="168">
        <f t="shared" si="610"/>
        <v>-1.3743849850464347E-2</v>
      </c>
      <c r="M414" s="178">
        <f t="shared" ref="M414" si="629">I414-J414</f>
        <v>4486.320000000007</v>
      </c>
      <c r="N414" s="180">
        <f t="shared" ref="N414" si="630">M414/J414</f>
        <v>1.2818057142857163E-2</v>
      </c>
      <c r="O414" s="179">
        <f t="shared" si="424"/>
        <v>7.4789063441351097E-3</v>
      </c>
      <c r="P414" s="178" t="b">
        <f t="shared" ref="P414" si="631">L414&gt;D414</f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ref="S414" si="632">I414-R414</f>
        <v>78857.419999999984</v>
      </c>
      <c r="T414" s="170">
        <v>-36518</v>
      </c>
      <c r="U414" s="170">
        <f t="shared" ref="U414" si="633">M414-T414</f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602"/>
        <v>0.52984551636347244</v>
      </c>
      <c r="Y414" s="171">
        <f t="shared" si="603"/>
        <v>2.2991858185174078E-2</v>
      </c>
      <c r="Z414" s="784">
        <f t="shared" si="604"/>
        <v>-0.12372805118841504</v>
      </c>
    </row>
    <row r="415" spans="1:26" ht="20.100000000000001" customHeight="1" x14ac:dyDescent="0.25">
      <c r="A415" s="160">
        <f t="shared" si="363"/>
        <v>627</v>
      </c>
      <c r="B415" s="169">
        <v>42860</v>
      </c>
      <c r="C415" s="211">
        <v>2399.29</v>
      </c>
      <c r="D415" s="168">
        <f t="shared" si="625"/>
        <v>4.0886872677357716E-3</v>
      </c>
      <c r="E415" s="205">
        <f t="shared" ref="E415" si="634">(C415-$C$2)/$C$2</f>
        <v>0.14119308993360091</v>
      </c>
      <c r="F415" s="215">
        <v>6100.75</v>
      </c>
      <c r="G415" s="168">
        <f t="shared" si="607"/>
        <v>4.1841348535799818E-3</v>
      </c>
      <c r="H415" s="199">
        <f t="shared" ref="H415" si="635">(F415-F$2)/F$2</f>
        <v>0.19817546202643521</v>
      </c>
      <c r="I415" s="217">
        <v>357180.36</v>
      </c>
      <c r="J415" s="170">
        <v>350000</v>
      </c>
      <c r="K415" s="170">
        <f t="shared" ref="K415" si="636">I415-I414-J415+J414</f>
        <v>2694.039999999979</v>
      </c>
      <c r="L415" s="168">
        <f t="shared" si="610"/>
        <v>7.5998419346619047E-3</v>
      </c>
      <c r="M415" s="178">
        <f t="shared" ref="M415" si="637">I415-J415</f>
        <v>7180.359999999986</v>
      </c>
      <c r="N415" s="180">
        <f t="shared" ref="N415" si="638">M415/J415</f>
        <v>2.0515314285714247E-2</v>
      </c>
      <c r="O415" s="179">
        <f t="shared" si="424"/>
        <v>1.1950906766917272E-2</v>
      </c>
      <c r="P415" s="178" t="b">
        <f t="shared" ref="P415" si="639">L415&gt;D415</f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ref="S415" si="640">I415-R415</f>
        <v>77439.359999999986</v>
      </c>
      <c r="T415" s="170">
        <v>-36093</v>
      </c>
      <c r="U415" s="170">
        <f t="shared" ref="U415" si="641">M415-T415</f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602"/>
        <v>0.54756541244818879</v>
      </c>
      <c r="Y415" s="171">
        <f t="shared" si="603"/>
        <v>3.6779045414986541E-2</v>
      </c>
      <c r="Z415" s="784">
        <f t="shared" si="604"/>
        <v>-0.12067777564788666</v>
      </c>
    </row>
    <row r="416" spans="1:26" ht="20.100000000000001" customHeight="1" x14ac:dyDescent="0.25">
      <c r="A416" s="160">
        <f t="shared" si="363"/>
        <v>630</v>
      </c>
      <c r="B416" s="238">
        <v>42863</v>
      </c>
      <c r="C416" s="327">
        <v>2399.38</v>
      </c>
      <c r="D416" s="168">
        <f t="shared" si="625"/>
        <v>3.7511097032932877E-5</v>
      </c>
      <c r="E416" s="240">
        <f t="shared" ref="E416" si="642">(C416-$C$2)/$C$2</f>
        <v>0.14123589733833072</v>
      </c>
      <c r="F416" s="241">
        <v>6102.66</v>
      </c>
      <c r="G416" s="168">
        <f t="shared" si="607"/>
        <v>3.1307626111541279E-4</v>
      </c>
      <c r="H416" s="242">
        <f t="shared" ref="H416" si="643">(F416-F$2)/F$2</f>
        <v>0.19855058232024669</v>
      </c>
      <c r="I416" s="539">
        <v>358405.67</v>
      </c>
      <c r="J416" s="244">
        <v>350000</v>
      </c>
      <c r="K416" s="244">
        <f t="shared" ref="K416" si="644">I416-I415-J416+J415</f>
        <v>1225.3099999999977</v>
      </c>
      <c r="L416" s="168">
        <f t="shared" si="610"/>
        <v>3.4305077692401613E-3</v>
      </c>
      <c r="M416" s="572">
        <f t="shared" ref="M416" si="645">I416-J416</f>
        <v>8405.6699999999837</v>
      </c>
      <c r="N416" s="246">
        <f t="shared" ref="N416" si="646">M416/J416</f>
        <v>2.4016199999999953E-2</v>
      </c>
      <c r="O416" s="179">
        <f t="shared" si="424"/>
        <v>1.392367785714283E-2</v>
      </c>
      <c r="P416" s="245" t="b">
        <f t="shared" ref="P416" si="647">L416&gt;D416</f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ref="S416" si="648">I416-R416</f>
        <v>81721.669999999984</v>
      </c>
      <c r="T416" s="244">
        <v>-35635</v>
      </c>
      <c r="U416" s="244">
        <f t="shared" ref="U416" si="649">M416-T416</f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602"/>
        <v>0.54578354804680929</v>
      </c>
      <c r="Y416" s="171">
        <f t="shared" si="603"/>
        <v>4.2901155931702593E-2</v>
      </c>
      <c r="Z416" s="784">
        <f t="shared" si="604"/>
        <v>-0.11721969733833076</v>
      </c>
    </row>
    <row r="417" spans="1:26" ht="20.100000000000001" customHeight="1" x14ac:dyDescent="0.25">
      <c r="A417" s="160">
        <f t="shared" si="363"/>
        <v>631</v>
      </c>
      <c r="B417" s="238">
        <v>42864</v>
      </c>
      <c r="C417" s="327">
        <v>2396.92</v>
      </c>
      <c r="D417" s="168">
        <f t="shared" si="625"/>
        <v>-1.0252648600888713E-3</v>
      </c>
      <c r="E417" s="240">
        <f t="shared" ref="E417" si="650">(C417-$C$2)/$C$2</f>
        <v>0.14006582827571773</v>
      </c>
      <c r="F417" s="241">
        <v>6120.58</v>
      </c>
      <c r="G417" s="168">
        <f t="shared" si="607"/>
        <v>2.9364244444226081E-3</v>
      </c>
      <c r="H417" s="242">
        <f t="shared" ref="H417" si="651">(F417-F$2)/F$2</f>
        <v>0.20207003554804881</v>
      </c>
      <c r="I417" s="539">
        <v>357612.56</v>
      </c>
      <c r="J417" s="244">
        <v>350000</v>
      </c>
      <c r="K417" s="244">
        <f t="shared" ref="K417" si="652">I417-I416-J417+J416</f>
        <v>-793.10999999998603</v>
      </c>
      <c r="L417" s="168">
        <f t="shared" si="610"/>
        <v>-2.2128835182768903E-3</v>
      </c>
      <c r="M417" s="572">
        <f t="shared" ref="M417" si="653">I417-J417</f>
        <v>7612.5599999999977</v>
      </c>
      <c r="N417" s="246">
        <f t="shared" ref="N417" si="654">M417/J417</f>
        <v>2.1750171428571424E-2</v>
      </c>
      <c r="O417" s="179">
        <f t="shared" si="424"/>
        <v>1.2589936789676247E-2</v>
      </c>
      <c r="P417" s="245" t="b">
        <f t="shared" ref="P417" si="655">L417&gt;D417</f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ref="S417" si="656">I417-R417</f>
        <v>106693.95999999999</v>
      </c>
      <c r="T417" s="244">
        <v>-36105</v>
      </c>
      <c r="U417" s="244">
        <f t="shared" ref="U417" si="657">M417-T417</f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602"/>
        <v>0.54104395386140325</v>
      </c>
      <c r="Y417" s="171">
        <f t="shared" si="603"/>
        <v>3.8837800778595243E-2</v>
      </c>
      <c r="Z417" s="784">
        <f t="shared" si="604"/>
        <v>-0.1183156568471463</v>
      </c>
    </row>
    <row r="418" spans="1:26" ht="20.100000000000001" customHeight="1" x14ac:dyDescent="0.25">
      <c r="A418" s="160">
        <f t="shared" si="363"/>
        <v>632</v>
      </c>
      <c r="B418" s="238">
        <v>42865</v>
      </c>
      <c r="C418" s="327">
        <v>2399.63</v>
      </c>
      <c r="D418" s="168">
        <f t="shared" si="625"/>
        <v>1.1306176259533219E-3</v>
      </c>
      <c r="E418" s="240">
        <f t="shared" ref="E418" si="658">(C418-$C$2)/$C$2</f>
        <v>0.14135480679591333</v>
      </c>
      <c r="F418" s="241">
        <v>6129.14</v>
      </c>
      <c r="G418" s="168">
        <f t="shared" si="607"/>
        <v>1.3985602671642884E-3</v>
      </c>
      <c r="H418" s="242">
        <f t="shared" ref="H418" si="659">(F418-F$2)/F$2</f>
        <v>0.20375120293811508</v>
      </c>
      <c r="I418" s="539">
        <v>364191.11</v>
      </c>
      <c r="J418" s="244">
        <v>350000</v>
      </c>
      <c r="K418" s="244">
        <f t="shared" ref="K418" si="660">I418-I417-J418+J417</f>
        <v>6578.5499999999884</v>
      </c>
      <c r="L418" s="168">
        <f t="shared" si="610"/>
        <v>1.839574650286329E-2</v>
      </c>
      <c r="M418" s="572">
        <f t="shared" ref="M418" si="661">I418-J418</f>
        <v>14191.109999999986</v>
      </c>
      <c r="N418" s="246">
        <f t="shared" ref="N418" si="662">M418/J418</f>
        <v>4.0546028571428534E-2</v>
      </c>
      <c r="O418" s="179">
        <f t="shared" si="424"/>
        <v>2.3432653379294736E-2</v>
      </c>
      <c r="P418" s="245" t="b">
        <f t="shared" ref="P418" si="663">L418&gt;D418</f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ref="S418" si="664">I418-R418</f>
        <v>102644.90999999997</v>
      </c>
      <c r="T418" s="244">
        <v>-32756</v>
      </c>
      <c r="U418" s="244">
        <f t="shared" ref="U418" si="665">M418-T418</f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602"/>
        <v>0.5458126662731192</v>
      </c>
      <c r="Y418" s="171">
        <f t="shared" si="603"/>
        <v>7.2305894545873259E-2</v>
      </c>
      <c r="Z418" s="784">
        <f t="shared" si="604"/>
        <v>-0.10080877822448481</v>
      </c>
    </row>
    <row r="419" spans="1:26" ht="20.100000000000001" customHeight="1" x14ac:dyDescent="0.25">
      <c r="A419" s="160">
        <f t="shared" si="363"/>
        <v>633</v>
      </c>
      <c r="B419" s="238">
        <v>42866</v>
      </c>
      <c r="C419" s="327">
        <v>2394.44</v>
      </c>
      <c r="D419" s="168">
        <f t="shared" si="625"/>
        <v>-2.1628334368215328E-3</v>
      </c>
      <c r="E419" s="240">
        <f t="shared" ref="E419" si="666">(C419-$C$2)/$C$2</f>
        <v>0.13888624645649816</v>
      </c>
      <c r="F419" s="241">
        <v>6115.96</v>
      </c>
      <c r="G419" s="168">
        <f t="shared" si="607"/>
        <v>-2.1503832511576321E-3</v>
      </c>
      <c r="H419" s="242">
        <f t="shared" ref="H419" si="667">(F419-F$2)/F$2</f>
        <v>0.2011626765127561</v>
      </c>
      <c r="I419" s="539">
        <v>363186.71</v>
      </c>
      <c r="J419" s="244">
        <v>350000</v>
      </c>
      <c r="K419" s="244">
        <f t="shared" ref="K419" si="668">I419-I418-J419+J418</f>
        <v>-1004.3999999999651</v>
      </c>
      <c r="L419" s="168">
        <f t="shared" si="610"/>
        <v>-2.7578926899120768E-3</v>
      </c>
      <c r="M419" s="572">
        <f t="shared" ref="M419" si="669">I419-J419</f>
        <v>13186.710000000021</v>
      </c>
      <c r="N419" s="246">
        <f t="shared" ref="N419" si="670">M419/J419</f>
        <v>3.7676314285714343E-2</v>
      </c>
      <c r="O419" s="179">
        <f t="shared" si="424"/>
        <v>2.1739769025050811E-2</v>
      </c>
      <c r="P419" s="245" t="b">
        <f t="shared" ref="P419" si="671">L419&gt;D419</f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ref="S419" si="672">I419-R419</f>
        <v>97902.610000000044</v>
      </c>
      <c r="T419" s="244">
        <v>-32128</v>
      </c>
      <c r="U419" s="244">
        <f t="shared" ref="U419" si="673">M419-T419</f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602"/>
        <v>0.53603212925544852</v>
      </c>
      <c r="Y419" s="171">
        <f t="shared" si="603"/>
        <v>6.7160876851205475E-2</v>
      </c>
      <c r="Z419" s="784">
        <f t="shared" si="604"/>
        <v>-0.10120993217078382</v>
      </c>
    </row>
    <row r="420" spans="1:26" ht="20.100000000000001" customHeight="1" x14ac:dyDescent="0.25">
      <c r="A420" s="160">
        <f t="shared" si="363"/>
        <v>634</v>
      </c>
      <c r="B420" s="238">
        <v>42867</v>
      </c>
      <c r="C420" s="327">
        <v>2390.9</v>
      </c>
      <c r="D420" s="168">
        <f t="shared" si="625"/>
        <v>-1.4784250179582547E-3</v>
      </c>
      <c r="E420" s="240">
        <f t="shared" ref="E420" si="674">(C420-$C$2)/$C$2</f>
        <v>0.1372024885371283</v>
      </c>
      <c r="F420" s="241">
        <v>6121.23</v>
      </c>
      <c r="G420" s="168">
        <f t="shared" si="607"/>
        <v>8.6167993250438639E-4</v>
      </c>
      <c r="H420" s="242">
        <f t="shared" ref="H420" si="675">(F420-F$2)/F$2</f>
        <v>0.20219769428678042</v>
      </c>
      <c r="I420" s="539">
        <v>359448.71</v>
      </c>
      <c r="J420" s="244">
        <v>350000</v>
      </c>
      <c r="K420" s="244">
        <f t="shared" ref="K420" si="676">I420-I419-J420+J419</f>
        <v>-3738</v>
      </c>
      <c r="L420" s="168">
        <f t="shared" si="610"/>
        <v>-1.0292226827352795E-2</v>
      </c>
      <c r="M420" s="572">
        <f t="shared" ref="M420" si="677">I420-J420</f>
        <v>9448.710000000021</v>
      </c>
      <c r="N420" s="246">
        <f t="shared" ref="N420" si="678">M420/J420</f>
        <v>2.6996314285714345E-2</v>
      </c>
      <c r="O420" s="179">
        <f t="shared" si="424"/>
        <v>1.555268737043717E-2</v>
      </c>
      <c r="P420" s="245" t="b">
        <f t="shared" ref="P420" si="679">L420&gt;D420</f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ref="S420" si="680">I420-R420</f>
        <v>93306.610000000044</v>
      </c>
      <c r="T420" s="244">
        <v>-32431</v>
      </c>
      <c r="U420" s="244">
        <f t="shared" ref="U420" si="681">M420-T420</f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602"/>
        <v>0.52930942435624384</v>
      </c>
      <c r="Y420" s="171">
        <f t="shared" si="603"/>
        <v>4.8088608293592995E-2</v>
      </c>
      <c r="Z420" s="784">
        <f t="shared" si="604"/>
        <v>-0.11020617425141395</v>
      </c>
    </row>
    <row r="421" spans="1:26" ht="20.100000000000001" customHeight="1" x14ac:dyDescent="0.25">
      <c r="A421" s="160">
        <f t="shared" si="363"/>
        <v>637</v>
      </c>
      <c r="B421" s="169">
        <v>42870</v>
      </c>
      <c r="C421" s="211">
        <v>2402.3200000000002</v>
      </c>
      <c r="D421" s="168">
        <f t="shared" si="625"/>
        <v>4.7764440168974326E-3</v>
      </c>
      <c r="E421" s="205">
        <f t="shared" ref="E421" si="682">(C421-$C$2)/$C$2</f>
        <v>0.14263427255950234</v>
      </c>
      <c r="F421" s="215">
        <v>6149.47</v>
      </c>
      <c r="G421" s="168">
        <f t="shared" si="607"/>
        <v>4.6134518716010823E-3</v>
      </c>
      <c r="H421" s="199">
        <f t="shared" ref="H421" si="683">(F421-F$2)/F$2</f>
        <v>0.20774397548952225</v>
      </c>
      <c r="I421" s="217">
        <v>361662.81</v>
      </c>
      <c r="J421" s="170">
        <v>350000</v>
      </c>
      <c r="K421" s="170">
        <f t="shared" ref="K421" si="684">I421-I420-J421+J420</f>
        <v>2214.0999999999767</v>
      </c>
      <c r="L421" s="168">
        <f t="shared" si="610"/>
        <v>6.1597105189220925E-3</v>
      </c>
      <c r="M421" s="178">
        <f t="shared" ref="M421" si="685">I421-J421</f>
        <v>11662.809999999998</v>
      </c>
      <c r="N421" s="180">
        <f t="shared" ref="N421" si="686">M421/J421</f>
        <v>3.3322314285714277E-2</v>
      </c>
      <c r="O421" s="179">
        <f t="shared" si="424"/>
        <v>1.9106711605741192E-2</v>
      </c>
      <c r="P421" s="178" t="b">
        <f t="shared" ref="P421" si="687">L421&gt;D421</f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ref="S421" si="688">I421-R421</f>
        <v>93306.609999999986</v>
      </c>
      <c r="T421" s="170">
        <v>-31638</v>
      </c>
      <c r="U421" s="170">
        <f t="shared" ref="U421" si="689">M421-T421</f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602"/>
        <v>0.54818426208120785</v>
      </c>
      <c r="Y421" s="171">
        <f t="shared" si="603"/>
        <v>5.914288195044231E-2</v>
      </c>
      <c r="Z421" s="784">
        <f t="shared" si="604"/>
        <v>-0.10931195827378806</v>
      </c>
    </row>
    <row r="422" spans="1:26" ht="20.100000000000001" customHeight="1" x14ac:dyDescent="0.25">
      <c r="A422" s="160">
        <f t="shared" si="363"/>
        <v>638</v>
      </c>
      <c r="B422" s="169">
        <v>42871</v>
      </c>
      <c r="C422" s="211">
        <v>2400.67</v>
      </c>
      <c r="D422" s="168">
        <f t="shared" si="625"/>
        <v>-6.8683605847684362E-4</v>
      </c>
      <c r="E422" s="205">
        <f t="shared" ref="E422" si="690">(C422-$C$2)/$C$2</f>
        <v>0.14184947013945701</v>
      </c>
      <c r="F422" s="215">
        <v>6169.87</v>
      </c>
      <c r="G422" s="168">
        <f t="shared" si="607"/>
        <v>3.3173590569593211E-3</v>
      </c>
      <c r="H422" s="199">
        <f t="shared" ref="H422" si="691">(F422-F$2)/F$2</f>
        <v>0.21175049590510048</v>
      </c>
      <c r="I422" s="217">
        <v>359481.11</v>
      </c>
      <c r="J422" s="170">
        <v>350000</v>
      </c>
      <c r="K422" s="170">
        <f t="shared" ref="K422" si="692">I422-I421-J422+J421</f>
        <v>-2181.7000000000116</v>
      </c>
      <c r="L422" s="168">
        <f t="shared" si="610"/>
        <v>-6.0324145576372964E-3</v>
      </c>
      <c r="M422" s="178">
        <f t="shared" ref="M422" si="693">I422-J422</f>
        <v>9481.109999999986</v>
      </c>
      <c r="N422" s="180">
        <f t="shared" ref="N422" si="694">M422/J422</f>
        <v>2.7088885714285676E-2</v>
      </c>
      <c r="O422" s="179">
        <f t="shared" si="424"/>
        <v>1.5508174776085961E-2</v>
      </c>
      <c r="P422" s="178" t="b">
        <f t="shared" ref="P422" si="695">L422&gt;D422</f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ref="S422" si="696">I422-R422</f>
        <v>87040.109999999986</v>
      </c>
      <c r="T422" s="170">
        <v>-31956</v>
      </c>
      <c r="U422" s="170">
        <f t="shared" ref="U422" si="697">M422-T422</f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602"/>
        <v>0.54495614787794711</v>
      </c>
      <c r="Y422" s="171">
        <f t="shared" si="603"/>
        <v>4.8055464194054549E-2</v>
      </c>
      <c r="Z422" s="784">
        <f t="shared" si="604"/>
        <v>-0.11476058442517133</v>
      </c>
    </row>
    <row r="423" spans="1:26" ht="20.100000000000001" customHeight="1" x14ac:dyDescent="0.25">
      <c r="A423" s="160">
        <f t="shared" si="363"/>
        <v>639</v>
      </c>
      <c r="B423" s="169">
        <v>42872</v>
      </c>
      <c r="C423" s="211">
        <v>2357.0300000000002</v>
      </c>
      <c r="D423" s="168">
        <f t="shared" si="625"/>
        <v>-1.8178258569482634E-2</v>
      </c>
      <c r="E423" s="205">
        <f t="shared" ref="E423" si="698">(C423-$C$2)/$C$2</f>
        <v>0.12109263522383523</v>
      </c>
      <c r="F423" s="215">
        <v>6011.23</v>
      </c>
      <c r="G423" s="168">
        <f t="shared" si="607"/>
        <v>-2.5712049038310422E-2</v>
      </c>
      <c r="H423" s="199">
        <f t="shared" ref="H423" si="699">(F423-F$2)/F$2</f>
        <v>0.18059390773219156</v>
      </c>
      <c r="I423" s="217">
        <v>358002.43</v>
      </c>
      <c r="J423" s="170">
        <v>350000</v>
      </c>
      <c r="K423" s="170">
        <f t="shared" ref="K423" si="700">I423-I422-J423+J422</f>
        <v>-1478.679999999993</v>
      </c>
      <c r="L423" s="168">
        <f t="shared" si="610"/>
        <v>-4.1133733007556175E-3</v>
      </c>
      <c r="M423" s="178">
        <f t="shared" ref="M423" si="701">I423-J423</f>
        <v>8002.429999999993</v>
      </c>
      <c r="N423" s="180">
        <f t="shared" ref="N423" si="702">M423/J423</f>
        <v>2.2864085714285696E-2</v>
      </c>
      <c r="O423" s="179">
        <f t="shared" si="424"/>
        <v>1.3069025519785369E-2</v>
      </c>
      <c r="P423" s="178" t="b">
        <f t="shared" ref="P423" si="703">L423&gt;D423</f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ref="S423" si="704">I423-R423</f>
        <v>80759.080000000016</v>
      </c>
      <c r="T423" s="170">
        <v>-31003</v>
      </c>
      <c r="U423" s="170">
        <f t="shared" ref="U423" si="705">M423-T423</f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602"/>
        <v>0.4628944720608214</v>
      </c>
      <c r="Y423" s="171">
        <f t="shared" si="603"/>
        <v>4.0543061240968153E-2</v>
      </c>
      <c r="Z423" s="784">
        <f t="shared" si="604"/>
        <v>-9.822854950954954E-2</v>
      </c>
    </row>
    <row r="424" spans="1:26" ht="20.100000000000001" customHeight="1" x14ac:dyDescent="0.25">
      <c r="A424" s="160">
        <f t="shared" si="363"/>
        <v>640</v>
      </c>
      <c r="B424" s="169">
        <v>42873</v>
      </c>
      <c r="C424" s="211">
        <v>2365.7199999999998</v>
      </c>
      <c r="D424" s="168">
        <f t="shared" si="625"/>
        <v>3.686843188249449E-3</v>
      </c>
      <c r="E424" s="205">
        <f t="shared" ref="E424" si="706">(C424-$C$2)/$C$2</f>
        <v>0.12522592796940685</v>
      </c>
      <c r="F424" s="215">
        <v>6055.13</v>
      </c>
      <c r="G424" s="168">
        <f t="shared" si="607"/>
        <v>7.3029978889512714E-3</v>
      </c>
      <c r="H424" s="199">
        <f t="shared" ref="H424" si="707">(F424-F$2)/F$2</f>
        <v>0.18921578254806848</v>
      </c>
      <c r="I424" s="217">
        <v>358058.63</v>
      </c>
      <c r="J424" s="170">
        <v>350000</v>
      </c>
      <c r="K424" s="170">
        <f t="shared" ref="K424" si="708">I424-I423-J424+J423</f>
        <v>56.200000000011642</v>
      </c>
      <c r="L424" s="168">
        <f t="shared" si="610"/>
        <v>1.5698217467409827E-4</v>
      </c>
      <c r="M424" s="178">
        <f t="shared" ref="M424" si="709">I424-J424</f>
        <v>8058.6300000000047</v>
      </c>
      <c r="N424" s="180">
        <f t="shared" ref="N424" si="710">M424/J424</f>
        <v>2.3024657142857157E-2</v>
      </c>
      <c r="O424" s="179">
        <f t="shared" si="424"/>
        <v>1.3140243783482152E-2</v>
      </c>
      <c r="P424" s="178" t="b">
        <f t="shared" ref="P424" si="711">L424&gt;D424</f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ref="S424" si="712">I424-R424</f>
        <v>80128.429999999993</v>
      </c>
      <c r="T424" s="170">
        <v>-30899</v>
      </c>
      <c r="U424" s="170">
        <f t="shared" ref="U424" si="713">M424-T424</f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602"/>
        <v>0.47844250275531547</v>
      </c>
      <c r="Y424" s="171">
        <f t="shared" si="603"/>
        <v>4.0812484616006534E-2</v>
      </c>
      <c r="Z424" s="784">
        <f t="shared" si="604"/>
        <v>-0.10220127082654969</v>
      </c>
    </row>
    <row r="425" spans="1:26" ht="20.100000000000001" customHeight="1" x14ac:dyDescent="0.25">
      <c r="A425" s="160">
        <f t="shared" si="363"/>
        <v>641</v>
      </c>
      <c r="B425" s="169">
        <v>42874</v>
      </c>
      <c r="C425" s="211">
        <v>2381.73</v>
      </c>
      <c r="D425" s="168">
        <f t="shared" si="625"/>
        <v>6.7674957306867334E-3</v>
      </c>
      <c r="E425" s="205">
        <f t="shared" ref="E425" si="714">(C425-$C$2)/$C$2</f>
        <v>0.13284088963299784</v>
      </c>
      <c r="F425" s="215">
        <v>6083.7</v>
      </c>
      <c r="G425" s="168">
        <f t="shared" si="607"/>
        <v>4.7183132319206537E-3</v>
      </c>
      <c r="H425" s="199">
        <f t="shared" ref="H425" si="715">(F425-F$2)/F$2</f>
        <v>0.19482687511047392</v>
      </c>
      <c r="I425" s="217">
        <v>363364.53</v>
      </c>
      <c r="J425" s="170">
        <v>350000</v>
      </c>
      <c r="K425" s="170">
        <f t="shared" ref="K425" si="716">I425-I424-J425+J424</f>
        <v>5305.9000000000233</v>
      </c>
      <c r="L425" s="168">
        <f t="shared" si="610"/>
        <v>1.4818522877105415E-2</v>
      </c>
      <c r="M425" s="178">
        <f t="shared" ref="M425" si="717">I425-J425</f>
        <v>13364.530000000028</v>
      </c>
      <c r="N425" s="180">
        <f t="shared" ref="N425" si="718">M425/J425</f>
        <v>3.8184371428571506E-2</v>
      </c>
      <c r="O425" s="179">
        <f t="shared" si="424"/>
        <v>2.1757943314018317E-2</v>
      </c>
      <c r="P425" s="178" t="b">
        <f t="shared" ref="P425" si="719">L425&gt;D425</f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ref="S425" si="720">I425-R425</f>
        <v>99391.830000000016</v>
      </c>
      <c r="T425" s="170">
        <v>-29778</v>
      </c>
      <c r="U425" s="170">
        <f t="shared" ref="U425" si="721">M425-T425</f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602"/>
        <v>0.50706450872402442</v>
      </c>
      <c r="Y425" s="171">
        <f t="shared" si="603"/>
        <v>6.7618445378340095E-2</v>
      </c>
      <c r="Z425" s="784">
        <f t="shared" si="604"/>
        <v>-9.4656518204426332E-2</v>
      </c>
    </row>
    <row r="426" spans="1:26" ht="20.100000000000001" customHeight="1" x14ac:dyDescent="0.25">
      <c r="A426" s="160">
        <f t="shared" si="363"/>
        <v>644</v>
      </c>
      <c r="B426" s="238">
        <v>42877</v>
      </c>
      <c r="C426" s="327">
        <v>2394.02</v>
      </c>
      <c r="D426" s="168">
        <f t="shared" si="625"/>
        <v>5.1601147065368294E-3</v>
      </c>
      <c r="E426" s="240">
        <f t="shared" ref="E426" si="722">(C426-$C$2)/$C$2</f>
        <v>0.13868647856775931</v>
      </c>
      <c r="F426" s="241">
        <v>6133.61</v>
      </c>
      <c r="G426" s="168">
        <f t="shared" si="607"/>
        <v>8.2038890806581284E-3</v>
      </c>
      <c r="H426" s="242">
        <f t="shared" ref="H426" si="723">(F426-F$2)/F$2</f>
        <v>0.20462910226446959</v>
      </c>
      <c r="I426" s="539">
        <v>362670.23</v>
      </c>
      <c r="J426" s="244">
        <v>350000</v>
      </c>
      <c r="K426" s="244">
        <f t="shared" ref="K426" si="724">I426-I425-J426+J425</f>
        <v>-694.30000000004657</v>
      </c>
      <c r="L426" s="168">
        <f t="shared" si="610"/>
        <v>-1.9107533693507358E-3</v>
      </c>
      <c r="M426" s="572">
        <f t="shared" ref="M426" si="725">I426-J426</f>
        <v>12670.229999999981</v>
      </c>
      <c r="N426" s="246">
        <f t="shared" ref="N426" si="726">M426/J426</f>
        <v>3.6200657142857091E-2</v>
      </c>
      <c r="O426" s="179">
        <f t="shared" si="424"/>
        <v>2.0531506244454274E-2</v>
      </c>
      <c r="P426" s="245" t="b">
        <f t="shared" ref="P426" si="727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" si="728">I426-R426</f>
        <v>99391.829999999958</v>
      </c>
      <c r="T426" s="244">
        <v>-30076</v>
      </c>
      <c r="U426" s="244">
        <f t="shared" ref="U426" si="729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602"/>
        <v>0.52737165886067983</v>
      </c>
      <c r="Y426" s="171">
        <f t="shared" si="603"/>
        <v>6.388146047577066E-2</v>
      </c>
      <c r="Z426" s="784">
        <f t="shared" si="604"/>
        <v>-0.10248582142490223</v>
      </c>
    </row>
    <row r="427" spans="1:26" ht="20.100000000000001" customHeight="1" x14ac:dyDescent="0.25">
      <c r="A427" s="160">
        <f t="shared" si="363"/>
        <v>645</v>
      </c>
      <c r="B427" s="238">
        <v>42878</v>
      </c>
      <c r="C427" s="327">
        <v>2398.42</v>
      </c>
      <c r="D427" s="168">
        <f t="shared" ref="D427" si="730">(C427-C426)/C426</f>
        <v>1.837912799391856E-3</v>
      </c>
      <c r="E427" s="240">
        <f t="shared" ref="E427" si="731">(C427-$C$2)/$C$2</f>
        <v>0.14077928502121345</v>
      </c>
      <c r="F427" s="241">
        <v>6138.71</v>
      </c>
      <c r="G427" s="168">
        <f t="shared" si="607"/>
        <v>8.3148423196133497E-4</v>
      </c>
      <c r="H427" s="242">
        <f t="shared" ref="H427" si="732">(F427-F$2)/F$2</f>
        <v>0.20563073236836424</v>
      </c>
      <c r="I427" s="539">
        <v>362550.99</v>
      </c>
      <c r="J427" s="244">
        <v>350000</v>
      </c>
      <c r="K427" s="244">
        <f t="shared" ref="K427" si="733">I427-I426-J427+J426</f>
        <v>-119.23999999999069</v>
      </c>
      <c r="L427" s="168">
        <f t="shared" si="610"/>
        <v>-3.2878353428675603E-4</v>
      </c>
      <c r="M427" s="572">
        <f t="shared" ref="M427" si="734">I427-J427</f>
        <v>12550.989999999991</v>
      </c>
      <c r="N427" s="246">
        <f t="shared" ref="N427" si="735">M427/J427</f>
        <v>3.5859971428571405E-2</v>
      </c>
      <c r="O427" s="179">
        <f t="shared" si="424"/>
        <v>2.0306751262458459E-2</v>
      </c>
      <c r="P427" s="245" t="b">
        <f t="shared" ref="P427" si="736">L427&gt;D427</f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ref="S427" si="737">I427-R427</f>
        <v>99392.390000000014</v>
      </c>
      <c r="T427" s="244">
        <v>-30424</v>
      </c>
      <c r="U427" s="244">
        <f t="shared" ref="U427" si="738">M427-T427</f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602"/>
        <v>0.53511543731372224</v>
      </c>
      <c r="Y427" s="171">
        <f t="shared" si="603"/>
        <v>6.3256676160937969E-2</v>
      </c>
      <c r="Z427" s="784">
        <f t="shared" si="604"/>
        <v>-0.10491931359264205</v>
      </c>
    </row>
    <row r="428" spans="1:26" ht="20.100000000000001" customHeight="1" x14ac:dyDescent="0.25">
      <c r="A428" s="160">
        <f t="shared" si="363"/>
        <v>646</v>
      </c>
      <c r="B428" s="238">
        <v>42879</v>
      </c>
      <c r="C428" s="327">
        <v>2404.39</v>
      </c>
      <c r="D428" s="168">
        <f t="shared" ref="D428" si="739">(C428-C427)/C427</f>
        <v>2.4891386829662028E-3</v>
      </c>
      <c r="E428" s="240">
        <f t="shared" ref="E428" si="740">(C428-$C$2)/$C$2</f>
        <v>0.14361884286828627</v>
      </c>
      <c r="F428" s="241">
        <v>6163.02</v>
      </c>
      <c r="G428" s="168">
        <f t="shared" si="607"/>
        <v>3.9601153988379316E-3</v>
      </c>
      <c r="H428" s="242">
        <f t="shared" ref="H428" si="741">(F428-F$2)/F$2</f>
        <v>0.21040516919692848</v>
      </c>
      <c r="I428" s="539">
        <v>361217.77</v>
      </c>
      <c r="J428" s="244">
        <v>350000</v>
      </c>
      <c r="K428" s="244">
        <f t="shared" ref="K428" si="742">I428-I427-J428+J427</f>
        <v>-1333.2199999999721</v>
      </c>
      <c r="L428" s="168">
        <f t="shared" si="610"/>
        <v>-3.6773310148731689E-3</v>
      </c>
      <c r="M428" s="572">
        <f t="shared" ref="M428" si="743">I428-J428</f>
        <v>11217.770000000019</v>
      </c>
      <c r="N428" s="246">
        <f t="shared" ref="N428" si="744">M428/J428</f>
        <v>3.2050771428571483E-2</v>
      </c>
      <c r="O428" s="179">
        <f t="shared" si="424"/>
        <v>1.8121585548429929E-2</v>
      </c>
      <c r="P428" s="245" t="b">
        <f t="shared" ref="P428" si="745">L428&gt;D428</f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ref="S428" si="746">I428-R428</f>
        <v>96213.270000000019</v>
      </c>
      <c r="T428" s="244">
        <v>-30852</v>
      </c>
      <c r="U428" s="244">
        <f t="shared" ref="U428" si="747">M428-T428</f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602"/>
        <v>0.54567295678831784</v>
      </c>
      <c r="Y428" s="171">
        <f t="shared" si="603"/>
        <v>5.651346110119778E-2</v>
      </c>
      <c r="Z428" s="784">
        <f t="shared" si="604"/>
        <v>-0.11156807143971478</v>
      </c>
    </row>
    <row r="429" spans="1:26" ht="20.100000000000001" customHeight="1" x14ac:dyDescent="0.25">
      <c r="A429" s="160">
        <f t="shared" si="363"/>
        <v>647</v>
      </c>
      <c r="B429" s="238">
        <v>42880</v>
      </c>
      <c r="C429" s="327">
        <v>2415.0700000000002</v>
      </c>
      <c r="D429" s="168">
        <f t="shared" ref="D429" si="748">(C429-C428)/C428</f>
        <v>4.4418750701842426E-3</v>
      </c>
      <c r="E429" s="240">
        <f t="shared" ref="E429" si="749">(C429-$C$2)/$C$2</f>
        <v>0.14869865489621586</v>
      </c>
      <c r="F429" s="241">
        <v>6205.25</v>
      </c>
      <c r="G429" s="168">
        <f t="shared" si="607"/>
        <v>6.8521601422678428E-3</v>
      </c>
      <c r="H429" s="242">
        <f t="shared" ref="H429" si="750">(F429-F$2)/F$2</f>
        <v>0.21869905925329461</v>
      </c>
      <c r="I429" s="539">
        <v>353000.67</v>
      </c>
      <c r="J429" s="244">
        <v>350000</v>
      </c>
      <c r="K429" s="244">
        <f t="shared" ref="K429" si="751">I429-I428-J429+J428</f>
        <v>-8217.1000000000349</v>
      </c>
      <c r="L429" s="168">
        <f t="shared" si="610"/>
        <v>-2.2748327137947933E-2</v>
      </c>
      <c r="M429" s="572">
        <f t="shared" ref="M429" si="752">I429-J429</f>
        <v>3000.6699999999837</v>
      </c>
      <c r="N429" s="246">
        <f t="shared" ref="N429" si="753">M429/J429</f>
        <v>8.573342857142811E-3</v>
      </c>
      <c r="O429" s="179">
        <f t="shared" si="424"/>
        <v>4.8398971848089825E-3</v>
      </c>
      <c r="P429" s="245" t="b">
        <f t="shared" ref="P429" si="754">L429&gt;D429</f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ref="S429" si="755">I429-R429</f>
        <v>88102.469999999972</v>
      </c>
      <c r="T429" s="244">
        <v>-32794</v>
      </c>
      <c r="U429" s="244">
        <f t="shared" ref="U429" si="756">M429-T429</f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602"/>
        <v>0.56463778385278085</v>
      </c>
      <c r="Y429" s="171">
        <f t="shared" si="603"/>
        <v>1.5087903653219875E-2</v>
      </c>
      <c r="Z429" s="784">
        <f t="shared" si="604"/>
        <v>-0.14012531203907305</v>
      </c>
    </row>
    <row r="430" spans="1:26" ht="20.100000000000001" customHeight="1" x14ac:dyDescent="0.25">
      <c r="A430" s="160">
        <f t="shared" si="363"/>
        <v>648</v>
      </c>
      <c r="B430" s="238">
        <v>42881</v>
      </c>
      <c r="C430" s="327">
        <v>2415.8200000000002</v>
      </c>
      <c r="D430" s="168">
        <f t="shared" ref="D430:D441" si="757">(C430-C429)/C429</f>
        <v>3.105500047617667E-4</v>
      </c>
      <c r="E430" s="240">
        <f t="shared" ref="E430" si="758">(C430-$C$2)/$C$2</f>
        <v>0.14905538326896373</v>
      </c>
      <c r="F430" s="241">
        <v>6210.19</v>
      </c>
      <c r="G430" s="168">
        <f t="shared" si="607"/>
        <v>7.9610007654801977E-4</v>
      </c>
      <c r="H430" s="242">
        <f t="shared" ref="H430" si="759">(F430-F$2)/F$2</f>
        <v>0.21966926566765516</v>
      </c>
      <c r="I430" s="539">
        <v>353471.67</v>
      </c>
      <c r="J430" s="244">
        <v>350000</v>
      </c>
      <c r="K430" s="244">
        <f t="shared" ref="K430" si="760">I430-I429-J430+J429</f>
        <v>471</v>
      </c>
      <c r="L430" s="168">
        <f t="shared" si="610"/>
        <v>1.3342750879198049E-3</v>
      </c>
      <c r="M430" s="572">
        <f t="shared" ref="M430" si="761">I430-J430</f>
        <v>3471.6699999999837</v>
      </c>
      <c r="N430" s="246">
        <f t="shared" ref="N430" si="762">M430/J430</f>
        <v>9.9190571428570962E-3</v>
      </c>
      <c r="O430" s="179">
        <f t="shared" si="424"/>
        <v>5.5909500330687568E-3</v>
      </c>
      <c r="P430" s="245" t="b">
        <f t="shared" ref="P430" si="763">L430&gt;D430</f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ref="S430" si="764">I430-R430</f>
        <v>88108.469999999972</v>
      </c>
      <c r="T430" s="244">
        <v>-33110</v>
      </c>
      <c r="U430" s="244">
        <f t="shared" ref="U430" si="765">M430-T430</f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602"/>
        <v>0.56578177709905297</v>
      </c>
      <c r="Y430" s="171">
        <f t="shared" si="603"/>
        <v>1.7449641035343473E-2</v>
      </c>
      <c r="Z430" s="784">
        <f t="shared" si="604"/>
        <v>-0.13913632612610663</v>
      </c>
    </row>
    <row r="431" spans="1:26" ht="20.100000000000001" customHeight="1" x14ac:dyDescent="0.25">
      <c r="A431" s="160">
        <f t="shared" si="363"/>
        <v>652</v>
      </c>
      <c r="B431" s="169">
        <v>42885</v>
      </c>
      <c r="C431" s="211">
        <v>2412.91</v>
      </c>
      <c r="D431" s="168">
        <f t="shared" si="757"/>
        <v>-1.204559942379941E-3</v>
      </c>
      <c r="E431" s="205">
        <f t="shared" ref="E431" si="766">(C431-$C$2)/$C$2</f>
        <v>0.1476712771827019</v>
      </c>
      <c r="F431" s="215">
        <v>6203.18</v>
      </c>
      <c r="G431" s="168">
        <f t="shared" si="607"/>
        <v>-1.1287899404042886E-3</v>
      </c>
      <c r="H431" s="199">
        <f t="shared" ref="H431" si="767">(F431-F$2)/F$2</f>
        <v>0.21829251526994922</v>
      </c>
      <c r="I431" s="217">
        <v>350229.07</v>
      </c>
      <c r="J431" s="170">
        <v>350000</v>
      </c>
      <c r="K431" s="170">
        <f t="shared" ref="K431" si="768">I431-I430-J431+J430</f>
        <v>-3242.5999999999767</v>
      </c>
      <c r="L431" s="168">
        <f t="shared" si="610"/>
        <v>-9.1735781823759077E-3</v>
      </c>
      <c r="M431" s="178">
        <f t="shared" ref="M431" si="769">I431-J431</f>
        <v>229.07000000000698</v>
      </c>
      <c r="N431" s="180">
        <f t="shared" ref="N431" si="770">M431/J431</f>
        <v>6.5448571428573419E-4</v>
      </c>
      <c r="O431" s="179">
        <f t="shared" si="424"/>
        <v>3.6664249561789024E-4</v>
      </c>
      <c r="P431" s="178" t="b">
        <f t="shared" ref="P431" si="771">L431&gt;D431</f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ref="S431" si="772">I431-R431</f>
        <v>88108.47</v>
      </c>
      <c r="T431" s="170">
        <v>-35019</v>
      </c>
      <c r="U431" s="170">
        <f t="shared" ref="U431" si="773">M431-T431</f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602"/>
        <v>0.55772271877139357</v>
      </c>
      <c r="Y431" s="171">
        <f t="shared" si="603"/>
        <v>1.1453461069866381E-3</v>
      </c>
      <c r="Z431" s="784">
        <f t="shared" si="604"/>
        <v>-0.14701679146841617</v>
      </c>
    </row>
    <row r="432" spans="1:26" ht="20.100000000000001" customHeight="1" x14ac:dyDescent="0.25">
      <c r="A432" s="160">
        <f t="shared" si="363"/>
        <v>653</v>
      </c>
      <c r="B432" s="169">
        <v>42886</v>
      </c>
      <c r="C432" s="211">
        <v>2411.8000000000002</v>
      </c>
      <c r="D432" s="168">
        <f t="shared" si="757"/>
        <v>-4.6002544645248791E-4</v>
      </c>
      <c r="E432" s="205">
        <f t="shared" ref="E432" si="774">(C432-$C$2)/$C$2</f>
        <v>0.14714331919103524</v>
      </c>
      <c r="F432" s="215">
        <v>6198.51</v>
      </c>
      <c r="G432" s="168">
        <f t="shared" si="607"/>
        <v>-7.5283967255505607E-4</v>
      </c>
      <c r="H432" s="199">
        <f t="shared" ref="H432" si="775">(F432-F$2)/F$2</f>
        <v>0.21737533633167713</v>
      </c>
      <c r="I432" s="406">
        <v>349203.17</v>
      </c>
      <c r="J432" s="170">
        <v>350000</v>
      </c>
      <c r="K432" s="170">
        <f t="shared" ref="K432" si="776">I432-I431-J432+J431</f>
        <v>-1025.9000000000233</v>
      </c>
      <c r="L432" s="168">
        <f t="shared" si="610"/>
        <v>-2.9292257207547715E-3</v>
      </c>
      <c r="M432" s="406">
        <f t="shared" ref="M432" si="777">I432-J432</f>
        <v>-796.8300000000163</v>
      </c>
      <c r="N432" s="180">
        <f t="shared" ref="N432" si="778">M432/J432</f>
        <v>-2.2766571428571893E-3</v>
      </c>
      <c r="O432" s="179">
        <f t="shared" si="424"/>
        <v>-1.2734288230146836E-3</v>
      </c>
      <c r="P432" s="178" t="b">
        <f t="shared" ref="P432" si="779">L432&gt;D432</f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ref="S432" si="780">I432-R432</f>
        <v>84038.07</v>
      </c>
      <c r="T432" s="170">
        <v>-35731</v>
      </c>
      <c r="U432" s="170">
        <f t="shared" ref="U432" si="781">M432-T432</f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602"/>
        <v>0.55552049614459997</v>
      </c>
      <c r="Y432" s="171">
        <f t="shared" si="603"/>
        <v>-3.9825524274986817E-3</v>
      </c>
      <c r="Z432" s="784">
        <f t="shared" si="604"/>
        <v>-0.14941997633389242</v>
      </c>
    </row>
    <row r="433" spans="1:26" ht="20.100000000000001" customHeight="1" x14ac:dyDescent="0.25">
      <c r="A433" s="160">
        <f t="shared" si="363"/>
        <v>654</v>
      </c>
      <c r="B433" s="169">
        <v>42887</v>
      </c>
      <c r="C433" s="211">
        <v>2430.06</v>
      </c>
      <c r="D433" s="168">
        <f t="shared" si="757"/>
        <v>7.5711087154821137E-3</v>
      </c>
      <c r="E433" s="205">
        <f t="shared" ref="E433" si="782">(C433-$C$2)/$C$2</f>
        <v>0.15582846597286956</v>
      </c>
      <c r="F433" s="215">
        <v>6246.83</v>
      </c>
      <c r="G433" s="168">
        <f t="shared" si="607"/>
        <v>7.7954218029816372E-3</v>
      </c>
      <c r="H433" s="199">
        <f t="shared" ref="H433" si="783">(F433-F$2)/F$2</f>
        <v>0.22686529057092919</v>
      </c>
      <c r="I433" s="217">
        <v>353722.21</v>
      </c>
      <c r="J433" s="170">
        <v>350000</v>
      </c>
      <c r="K433" s="170">
        <f t="shared" ref="K433" si="784">I433-I432-J433+J432</f>
        <v>4519.0400000000373</v>
      </c>
      <c r="L433" s="168">
        <f t="shared" si="610"/>
        <v>1.2941005088814163E-2</v>
      </c>
      <c r="M433" s="178">
        <f t="shared" ref="M433" si="785">I433-J433</f>
        <v>3722.210000000021</v>
      </c>
      <c r="N433" s="180">
        <f t="shared" ref="N433" si="786">M433/J433</f>
        <v>1.0634885714285775E-2</v>
      </c>
      <c r="O433" s="179">
        <f t="shared" si="424"/>
        <v>5.9394373197903354E-3</v>
      </c>
      <c r="P433" s="178" t="b">
        <f t="shared" ref="P433" si="787">L433&gt;D433</f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ref="S433" si="788">I433-R433</f>
        <v>84175.31</v>
      </c>
      <c r="T433" s="170">
        <v>-33352</v>
      </c>
      <c r="U433" s="170">
        <f t="shared" ref="U433" si="789">M433-T433</f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602"/>
        <v>0.58768729187644464</v>
      </c>
      <c r="Y433" s="171">
        <f t="shared" si="603"/>
        <v>1.8588404187842304E-2</v>
      </c>
      <c r="Z433" s="784">
        <f t="shared" si="604"/>
        <v>-0.14519358025858378</v>
      </c>
    </row>
    <row r="434" spans="1:26" ht="20.100000000000001" customHeight="1" x14ac:dyDescent="0.25">
      <c r="A434" s="160">
        <f t="shared" si="363"/>
        <v>655</v>
      </c>
      <c r="B434" s="169">
        <v>42888</v>
      </c>
      <c r="C434" s="211">
        <v>2439.0700000000002</v>
      </c>
      <c r="D434" s="168">
        <f t="shared" si="757"/>
        <v>3.7077273812170146E-3</v>
      </c>
      <c r="E434" s="205">
        <f t="shared" ref="E434" si="790">(C434-$C$2)/$C$2</f>
        <v>0.16011396282414722</v>
      </c>
      <c r="F434" s="215">
        <v>6305.79</v>
      </c>
      <c r="G434" s="168">
        <f t="shared" si="607"/>
        <v>9.4383871499624673E-3</v>
      </c>
      <c r="H434" s="199">
        <f t="shared" ref="H434" si="791">(F434-F$2)/F$2</f>
        <v>0.23844492016418881</v>
      </c>
      <c r="I434" s="217">
        <v>351458.31</v>
      </c>
      <c r="J434" s="170">
        <v>350000</v>
      </c>
      <c r="K434" s="170">
        <f t="shared" ref="K434" si="792">I434-I433-J434+J433</f>
        <v>-2263.9000000000233</v>
      </c>
      <c r="L434" s="168">
        <f t="shared" si="610"/>
        <v>-6.4002201049236434E-3</v>
      </c>
      <c r="M434" s="178">
        <f t="shared" ref="M434" si="793">I434-J434</f>
        <v>1458.3099999999977</v>
      </c>
      <c r="N434" s="180">
        <f t="shared" ref="N434" si="794">M434/J434</f>
        <v>4.1665999999999934E-3</v>
      </c>
      <c r="O434" s="179">
        <f t="shared" si="424"/>
        <v>2.3234361068702252E-3</v>
      </c>
      <c r="P434" s="178" t="b">
        <f t="shared" ref="P434" si="795">L434&gt;D434</f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ref="S434" si="796">I434-R434</f>
        <v>69130.909999999974</v>
      </c>
      <c r="T434" s="170">
        <v>-36002</v>
      </c>
      <c r="U434" s="170">
        <f t="shared" ref="U434" si="797">M434-T434</f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602"/>
        <v>0.60353913817886917</v>
      </c>
      <c r="Y434" s="171">
        <f t="shared" si="603"/>
        <v>7.2790368057027996E-3</v>
      </c>
      <c r="Z434" s="784">
        <f t="shared" si="604"/>
        <v>-0.15594736282414723</v>
      </c>
    </row>
    <row r="435" spans="1:26" ht="20.100000000000001" customHeight="1" x14ac:dyDescent="0.25">
      <c r="A435" s="160">
        <f t="shared" si="363"/>
        <v>658</v>
      </c>
      <c r="B435" s="238">
        <v>42891</v>
      </c>
      <c r="C435" s="327">
        <v>2436.1</v>
      </c>
      <c r="D435" s="168">
        <f t="shared" si="757"/>
        <v>-1.217677229435914E-3</v>
      </c>
      <c r="E435" s="240">
        <f t="shared" ref="E435" si="798">(C435-$C$2)/$C$2</f>
        <v>0.15870131846806559</v>
      </c>
      <c r="F435" s="241">
        <v>6295.68</v>
      </c>
      <c r="G435" s="168">
        <f t="shared" si="607"/>
        <v>-1.6032884063693325E-3</v>
      </c>
      <c r="H435" s="242">
        <f t="shared" ref="H435" si="799">(F435-F$2)/F$2</f>
        <v>0.23645933578176256</v>
      </c>
      <c r="I435" s="539">
        <v>351519.71</v>
      </c>
      <c r="J435" s="244">
        <v>350000</v>
      </c>
      <c r="K435" s="244">
        <f t="shared" ref="K435" si="800">I435-I434-J435+J434</f>
        <v>61.400000000023283</v>
      </c>
      <c r="L435" s="168">
        <f t="shared" si="610"/>
        <v>1.7470066364350093E-4</v>
      </c>
      <c r="M435" s="572">
        <f t="shared" ref="M435" si="801">I435-J435</f>
        <v>1519.710000000021</v>
      </c>
      <c r="N435" s="246">
        <f t="shared" ref="N435" si="802">M435/J435</f>
        <v>4.3420285714286314E-3</v>
      </c>
      <c r="O435" s="179">
        <f t="shared" si="424"/>
        <v>2.4102217867998598E-3</v>
      </c>
      <c r="P435" s="245" t="b">
        <f t="shared" ref="P435" si="803">L435&gt;D435</f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ref="S435" si="804">I435-R435</f>
        <v>69130.910000000033</v>
      </c>
      <c r="T435" s="244">
        <v>-35772</v>
      </c>
      <c r="U435" s="244">
        <f t="shared" ref="U435" si="805">M435-T435</f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602"/>
        <v>0.59615680599333642</v>
      </c>
      <c r="Y435" s="171">
        <f t="shared" si="603"/>
        <v>7.5596790085981523E-3</v>
      </c>
      <c r="Z435" s="784">
        <f t="shared" si="604"/>
        <v>-0.15435928989663697</v>
      </c>
    </row>
    <row r="436" spans="1:26" ht="20.100000000000001" customHeight="1" x14ac:dyDescent="0.25">
      <c r="A436" s="160">
        <f t="shared" si="363"/>
        <v>659</v>
      </c>
      <c r="B436" s="238">
        <v>42892</v>
      </c>
      <c r="C436" s="327">
        <v>2429.33</v>
      </c>
      <c r="D436" s="168">
        <f t="shared" si="757"/>
        <v>-2.7790320594392602E-3</v>
      </c>
      <c r="E436" s="240">
        <f t="shared" ref="E436" si="806">(C436-$C$2)/$C$2</f>
        <v>0.1554812503567283</v>
      </c>
      <c r="F436" s="241">
        <v>6275.02</v>
      </c>
      <c r="G436" s="168">
        <f t="shared" si="607"/>
        <v>-3.2816153298769715E-3</v>
      </c>
      <c r="H436" s="242">
        <f t="shared" ref="H436" si="807">(F436-F$2)/F$2</f>
        <v>0.23240175187069165</v>
      </c>
      <c r="I436" s="539">
        <v>351863.31</v>
      </c>
      <c r="J436" s="244">
        <v>350000</v>
      </c>
      <c r="K436" s="244">
        <f t="shared" ref="K436" si="808">I436-I435-J436+J435</f>
        <v>343.59999999997672</v>
      </c>
      <c r="L436" s="168">
        <f t="shared" si="610"/>
        <v>9.7747008268747344E-4</v>
      </c>
      <c r="M436" s="572">
        <f t="shared" ref="M436" si="809">I436-J436</f>
        <v>1863.3099999999977</v>
      </c>
      <c r="N436" s="246">
        <f t="shared" ref="N436" si="810">M436/J436</f>
        <v>5.3237428571428509E-3</v>
      </c>
      <c r="O436" s="179">
        <f t="shared" si="424"/>
        <v>2.9506784196834997E-3</v>
      </c>
      <c r="P436" s="245" t="b">
        <f t="shared" ref="P436" si="811">L436&gt;D436</f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ref="S436" si="812">I436-R436</f>
        <v>65808.909999999974</v>
      </c>
      <c r="T436" s="244">
        <v>-34862</v>
      </c>
      <c r="U436" s="244">
        <f t="shared" ref="U436" si="813">M436-T436</f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602"/>
        <v>0.58377121480445904</v>
      </c>
      <c r="Y436" s="171">
        <f t="shared" si="603"/>
        <v>9.2655223761011294E-3</v>
      </c>
      <c r="Z436" s="784">
        <f t="shared" si="604"/>
        <v>-0.15015750749958545</v>
      </c>
    </row>
    <row r="437" spans="1:26" ht="20.100000000000001" customHeight="1" x14ac:dyDescent="0.25">
      <c r="A437" s="160">
        <f t="shared" si="363"/>
        <v>660</v>
      </c>
      <c r="B437" s="238">
        <v>42893</v>
      </c>
      <c r="C437" s="327">
        <v>2433.14</v>
      </c>
      <c r="D437" s="168">
        <f t="shared" si="757"/>
        <v>1.5683336557816129E-3</v>
      </c>
      <c r="E437" s="240">
        <f t="shared" ref="E437" si="814">(C437-$C$2)/$C$2</f>
        <v>0.15729343049028738</v>
      </c>
      <c r="F437" s="241">
        <v>6297.38</v>
      </c>
      <c r="G437" s="168">
        <f t="shared" si="607"/>
        <v>3.5633352563019197E-3</v>
      </c>
      <c r="H437" s="242">
        <f t="shared" ref="H437" si="815">(F437-F$2)/F$2</f>
        <v>0.23679321248306073</v>
      </c>
      <c r="I437" s="539">
        <v>346982.81</v>
      </c>
      <c r="J437" s="244">
        <v>350000</v>
      </c>
      <c r="K437" s="244">
        <f t="shared" ref="K437" si="816">I437-I436-J437+J436</f>
        <v>-4880.5</v>
      </c>
      <c r="L437" s="168">
        <f t="shared" si="610"/>
        <v>-1.3870443042214319E-2</v>
      </c>
      <c r="M437" s="572">
        <f t="shared" ref="M437" si="817">I437-J437</f>
        <v>-3017.1900000000023</v>
      </c>
      <c r="N437" s="246">
        <f t="shared" ref="N437" si="818">M437/J437</f>
        <v>-8.6205428571428638E-3</v>
      </c>
      <c r="O437" s="179">
        <f t="shared" si="424"/>
        <v>-4.7706867857142893E-3</v>
      </c>
      <c r="P437" s="245" t="b">
        <f t="shared" ref="P437" si="819">L437&gt;D437</f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ref="S437" si="820">I437-R437</f>
        <v>65808.909999999974</v>
      </c>
      <c r="T437" s="244">
        <v>-40512</v>
      </c>
      <c r="U437" s="244">
        <f t="shared" ref="U437" si="821">M437-T437</f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602"/>
        <v>0.59034978233997903</v>
      </c>
      <c r="Y437" s="171">
        <f t="shared" si="603"/>
        <v>-1.4989123442539961E-2</v>
      </c>
      <c r="Z437" s="784">
        <f t="shared" si="604"/>
        <v>-0.16591397334743024</v>
      </c>
    </row>
    <row r="438" spans="1:26" ht="20.100000000000001" customHeight="1" x14ac:dyDescent="0.25">
      <c r="A438" s="160">
        <f t="shared" si="363"/>
        <v>661</v>
      </c>
      <c r="B438" s="238">
        <v>42894</v>
      </c>
      <c r="C438" s="327">
        <v>2433.79</v>
      </c>
      <c r="D438" s="168">
        <f t="shared" si="757"/>
        <v>2.6714451285174342E-4</v>
      </c>
      <c r="E438" s="240">
        <f t="shared" ref="E438" si="822">(C438-$C$2)/$C$2</f>
        <v>0.15760259508000224</v>
      </c>
      <c r="F438" s="241">
        <v>6321.76</v>
      </c>
      <c r="G438" s="168">
        <f t="shared" si="607"/>
        <v>3.8714513019700429E-3</v>
      </c>
      <c r="H438" s="242">
        <f t="shared" ref="H438" si="823">(F438-F$2)/F$2</f>
        <v>0.24158139717579599</v>
      </c>
      <c r="I438" s="539">
        <v>347153.55</v>
      </c>
      <c r="J438" s="244">
        <v>350000</v>
      </c>
      <c r="K438" s="244">
        <f t="shared" ref="K438" si="824">I438-I437-J438+J437</f>
        <v>170.73999999999069</v>
      </c>
      <c r="L438" s="168">
        <f t="shared" si="610"/>
        <v>4.9207048614307637E-4</v>
      </c>
      <c r="M438" s="572">
        <f t="shared" ref="M438" si="825">I438-J438</f>
        <v>-2846.4500000000116</v>
      </c>
      <c r="N438" s="246">
        <f t="shared" ref="N438" si="826">M438/J438</f>
        <v>-8.1327142857143195E-3</v>
      </c>
      <c r="O438" s="179">
        <f t="shared" si="424"/>
        <v>-4.4939090663497052E-3</v>
      </c>
      <c r="P438" s="245" t="b">
        <f t="shared" ref="P438" si="827">L438&gt;D438</f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ref="S438" si="828">I438-R438</f>
        <v>68658.849999999977</v>
      </c>
      <c r="T438" s="244">
        <v>-41692</v>
      </c>
      <c r="U438" s="244">
        <f t="shared" ref="U438" si="829">M438-T438</f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602"/>
        <v>0.59129520212629594</v>
      </c>
      <c r="Y438" s="171">
        <f t="shared" si="603"/>
        <v>-1.4135766451076353E-2</v>
      </c>
      <c r="Z438" s="784">
        <f t="shared" si="604"/>
        <v>-0.16573530936571657</v>
      </c>
    </row>
    <row r="439" spans="1:26" ht="20.100000000000001" customHeight="1" x14ac:dyDescent="0.25">
      <c r="A439" s="160">
        <f t="shared" si="363"/>
        <v>662</v>
      </c>
      <c r="B439" s="238">
        <v>42895</v>
      </c>
      <c r="C439" s="327">
        <v>2431.77</v>
      </c>
      <c r="D439" s="168">
        <f t="shared" si="757"/>
        <v>-8.2998122270203339E-4</v>
      </c>
      <c r="E439" s="240">
        <f t="shared" ref="E439" si="830">(C439-$C$2)/$C$2</f>
        <v>0.15664180666273469</v>
      </c>
      <c r="F439" s="241">
        <v>6207.91</v>
      </c>
      <c r="G439" s="168">
        <f t="shared" si="607"/>
        <v>-1.8009225279036273E-2</v>
      </c>
      <c r="H439" s="242">
        <f t="shared" ref="H439" si="831">(F439-F$2)/F$2</f>
        <v>0.21922147809179646</v>
      </c>
      <c r="I439" s="539">
        <v>354123.05</v>
      </c>
      <c r="J439" s="244">
        <v>350000</v>
      </c>
      <c r="K439" s="244">
        <f t="shared" ref="K439" si="832">I439-I438-J439+J438</f>
        <v>6969.5</v>
      </c>
      <c r="L439" s="168">
        <f t="shared" si="610"/>
        <v>2.0076130576800959E-2</v>
      </c>
      <c r="M439" s="572">
        <f t="shared" ref="M439" si="833">I439-J439</f>
        <v>4123.0499999999884</v>
      </c>
      <c r="N439" s="246">
        <f t="shared" ref="N439" si="834">M439/J439</f>
        <v>1.1780142857142824E-2</v>
      </c>
      <c r="O439" s="179">
        <f t="shared" si="424"/>
        <v>6.4995425658178497E-3</v>
      </c>
      <c r="P439" s="245" t="b">
        <f t="shared" ref="P439" si="835">L439&gt;D439</f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ref="S439" si="836">I439-R439</f>
        <v>68658.849999999977</v>
      </c>
      <c r="T439" s="244">
        <v>-37482</v>
      </c>
      <c r="U439" s="244">
        <f t="shared" ref="U439" si="837">M439-T439</f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602"/>
        <v>0.5874654225106517</v>
      </c>
      <c r="Y439" s="171">
        <f t="shared" si="603"/>
        <v>2.0445392376987268E-2</v>
      </c>
      <c r="Z439" s="784">
        <f t="shared" si="604"/>
        <v>-0.14486166380559187</v>
      </c>
    </row>
    <row r="440" spans="1:26" ht="20.100000000000001" customHeight="1" x14ac:dyDescent="0.25">
      <c r="A440" s="160">
        <f t="shared" si="363"/>
        <v>665</v>
      </c>
      <c r="B440" s="169">
        <v>42898</v>
      </c>
      <c r="C440" s="211">
        <v>2429.39</v>
      </c>
      <c r="D440" s="168">
        <f t="shared" si="757"/>
        <v>-9.7871098006806125E-4</v>
      </c>
      <c r="E440" s="205">
        <f t="shared" ref="E440" si="838">(C440-$C$2)/$C$2</f>
        <v>0.1555097886265481</v>
      </c>
      <c r="F440" s="215">
        <v>6208.91</v>
      </c>
      <c r="G440" s="168">
        <f t="shared" si="607"/>
        <v>1.6108480954137545E-4</v>
      </c>
      <c r="H440" s="199">
        <f t="shared" ref="H440" si="839">(F440-F$2)/F$2</f>
        <v>0.21941787615138364</v>
      </c>
      <c r="I440" s="217">
        <v>354932.43</v>
      </c>
      <c r="J440" s="170">
        <v>350000</v>
      </c>
      <c r="K440" s="170">
        <f t="shared" ref="K440" si="840">I440-I439-J440+J439</f>
        <v>809.38000000000466</v>
      </c>
      <c r="L440" s="168">
        <f t="shared" si="610"/>
        <v>2.2855897123895343E-3</v>
      </c>
      <c r="M440" s="178">
        <f t="shared" ref="M440" si="841">I440-J440</f>
        <v>4932.429999999993</v>
      </c>
      <c r="N440" s="180">
        <f t="shared" ref="N440" si="842">M440/J440</f>
        <v>1.4092657142857123E-2</v>
      </c>
      <c r="O440" s="179">
        <f t="shared" si="424"/>
        <v>7.7403654457572401E-3</v>
      </c>
      <c r="P440" s="178" t="b">
        <f t="shared" ref="P440" si="843">L440&gt;D440</f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ref="S440" si="844">I440-R440</f>
        <v>76262.679999999993</v>
      </c>
      <c r="T440" s="170">
        <v>-36662</v>
      </c>
      <c r="U440" s="170">
        <f t="shared" ref="U440" si="845">M440-T440</f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602"/>
        <v>0.58124008843652086</v>
      </c>
      <c r="Y440" s="171">
        <f t="shared" si="603"/>
        <v>2.43762740845248E-2</v>
      </c>
      <c r="Z440" s="784">
        <f t="shared" si="604"/>
        <v>-0.14141713148369098</v>
      </c>
    </row>
    <row r="441" spans="1:26" ht="20.100000000000001" customHeight="1" x14ac:dyDescent="0.25">
      <c r="A441" s="160">
        <f t="shared" si="363"/>
        <v>666</v>
      </c>
      <c r="B441" s="169">
        <v>42899</v>
      </c>
      <c r="C441" s="211">
        <v>2440.35</v>
      </c>
      <c r="D441" s="168">
        <f t="shared" si="757"/>
        <v>4.5114205623634071E-3</v>
      </c>
      <c r="E441" s="205">
        <f t="shared" ref="E441" si="846">(C441-$C$2)/$C$2</f>
        <v>0.16072277924697012</v>
      </c>
      <c r="F441" s="215">
        <v>6220.36</v>
      </c>
      <c r="G441" s="168">
        <f t="shared" si="607"/>
        <v>1.8441240088839777E-3</v>
      </c>
      <c r="H441" s="199">
        <f t="shared" ref="H441" si="847">(F441-F$2)/F$2</f>
        <v>0.22166663393365671</v>
      </c>
      <c r="I441" s="217">
        <v>359514.03</v>
      </c>
      <c r="J441" s="170">
        <v>350000</v>
      </c>
      <c r="K441" s="170">
        <f t="shared" ref="K441" si="848">I441-I440-J441+J440</f>
        <v>4581.6000000000349</v>
      </c>
      <c r="L441" s="168">
        <f t="shared" si="610"/>
        <v>1.29083724471163E-2</v>
      </c>
      <c r="M441" s="178">
        <f t="shared" ref="M441" si="849">I441-J441</f>
        <v>9514.0300000000279</v>
      </c>
      <c r="N441" s="180">
        <f t="shared" ref="N441" si="850">M441/J441</f>
        <v>2.7182942857142938E-2</v>
      </c>
      <c r="O441" s="179">
        <f t="shared" si="424"/>
        <v>1.4907762580437625E-2</v>
      </c>
      <c r="P441" s="178" t="b">
        <f t="shared" ref="P441" si="851">L441&gt;D441</f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ref="S441" si="852">I441-R441</f>
        <v>76630.680000000051</v>
      </c>
      <c r="T441" s="170">
        <v>-33012</v>
      </c>
      <c r="U441" s="170">
        <f t="shared" ref="U441" si="853">M441-T441</f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602"/>
        <v>0.60037132201476762</v>
      </c>
      <c r="Y441" s="171">
        <f t="shared" si="603"/>
        <v>4.6980961972746108E-2</v>
      </c>
      <c r="Z441" s="784">
        <f t="shared" si="604"/>
        <v>-0.13353983638982719</v>
      </c>
    </row>
    <row r="442" spans="1:26" ht="20.100000000000001" customHeight="1" x14ac:dyDescent="0.25">
      <c r="A442" s="160">
        <f t="shared" si="363"/>
        <v>667</v>
      </c>
      <c r="B442" s="169">
        <v>42900</v>
      </c>
      <c r="C442" s="211">
        <v>2437.92</v>
      </c>
      <c r="D442" s="168">
        <f t="shared" ref="D442" si="854">(C442-C441)/C441</f>
        <v>-9.9575880508936693E-4</v>
      </c>
      <c r="E442" s="205">
        <f t="shared" ref="E442" si="855">(C442-$C$2)/$C$2</f>
        <v>0.15956697931926714</v>
      </c>
      <c r="F442" s="215">
        <v>6194.89</v>
      </c>
      <c r="G442" s="168">
        <f t="shared" ref="G442" si="856">(F442-F441)/F441</f>
        <v>-4.0946183179107554E-3</v>
      </c>
      <c r="H442" s="199">
        <f t="shared" ref="H442" si="857">(F442-F$2)/F$2</f>
        <v>0.21666437535597158</v>
      </c>
      <c r="I442" s="217">
        <v>355660.79999999999</v>
      </c>
      <c r="J442" s="170">
        <v>350000</v>
      </c>
      <c r="K442" s="170">
        <f t="shared" ref="K442" si="858">I442-I441-J442+J441</f>
        <v>-3853.2300000000396</v>
      </c>
      <c r="L442" s="168">
        <f t="shared" ref="L442" si="859">K442/I441</f>
        <v>-1.0717884918149201E-2</v>
      </c>
      <c r="M442" s="178">
        <f t="shared" ref="M442" si="860">I442-J442</f>
        <v>5660.7999999999884</v>
      </c>
      <c r="N442" s="180">
        <f t="shared" ref="N442" si="861">M442/J442</f>
        <v>1.6173714285714253E-2</v>
      </c>
      <c r="O442" s="179">
        <f t="shared" si="424"/>
        <v>8.8567453416148901E-3</v>
      </c>
      <c r="P442" s="178" t="b">
        <f t="shared" ref="P442" si="862">L442&gt;D442</f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ref="S442" si="863">I442-R442</f>
        <v>72064.549999999988</v>
      </c>
      <c r="T442" s="170">
        <v>-36382</v>
      </c>
      <c r="U442" s="170">
        <f t="shared" ref="U442" si="864">M442-T442</f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602"/>
        <v>0.59582421570657329</v>
      </c>
      <c r="Y442" s="171">
        <f t="shared" si="603"/>
        <v>2.7933421746418215E-2</v>
      </c>
      <c r="Z442" s="784">
        <f t="shared" si="604"/>
        <v>-0.14339326503355287</v>
      </c>
    </row>
    <row r="443" spans="1:26" ht="20.100000000000001" customHeight="1" x14ac:dyDescent="0.25">
      <c r="A443" s="160">
        <f t="shared" si="363"/>
        <v>668</v>
      </c>
      <c r="B443" s="169">
        <v>42901</v>
      </c>
      <c r="C443" s="211">
        <v>2432.46</v>
      </c>
      <c r="D443" s="168">
        <f t="shared" ref="D443" si="865">(C443-C442)/C442</f>
        <v>-2.2396140972632556E-3</v>
      </c>
      <c r="E443" s="205">
        <f t="shared" ref="E443" si="866">(C443-$C$2)/$C$2</f>
        <v>0.15696999676566273</v>
      </c>
      <c r="F443" s="215">
        <v>6165.5</v>
      </c>
      <c r="G443" s="168">
        <f t="shared" ref="G443" si="867">(F443-F442)/F442</f>
        <v>-4.7442327466670634E-3</v>
      </c>
      <c r="H443" s="199">
        <f t="shared" ref="H443" si="868">(F443-F$2)/F$2</f>
        <v>0.21089223638470456</v>
      </c>
      <c r="I443" s="217">
        <v>343648.95</v>
      </c>
      <c r="J443" s="170">
        <v>350000</v>
      </c>
      <c r="K443" s="170">
        <f t="shared" ref="K443" si="869">I443-I442-J443+J442</f>
        <v>-12011.849999999977</v>
      </c>
      <c r="L443" s="168">
        <f t="shared" ref="L443" si="870">K443/I442</f>
        <v>-3.3773331218959125E-2</v>
      </c>
      <c r="M443" s="178">
        <f t="shared" ref="M443" si="871">I443-J443</f>
        <v>-6351.0499999999884</v>
      </c>
      <c r="N443" s="180">
        <f t="shared" ref="N443" si="872">M443/J443</f>
        <v>-1.8145857142857109E-2</v>
      </c>
      <c r="O443" s="179">
        <f t="shared" si="424"/>
        <v>-9.9218178464499391E-3</v>
      </c>
      <c r="P443" s="178" t="b">
        <f t="shared" ref="P443" si="873">L443&gt;D443</f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ref="S443" si="874">I443-R443</f>
        <v>66994.5</v>
      </c>
      <c r="T443" s="170">
        <v>-42389</v>
      </c>
      <c r="U443" s="170">
        <f t="shared" ref="U443" si="875">M443-T443</f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602"/>
        <v>0.5858623321565245</v>
      </c>
      <c r="Y443" s="171">
        <f t="shared" si="603"/>
        <v>-3.1224275300202758E-2</v>
      </c>
      <c r="Z443" s="784">
        <f t="shared" si="604"/>
        <v>-0.17511585390851983</v>
      </c>
    </row>
    <row r="444" spans="1:26" ht="20.100000000000001" customHeight="1" x14ac:dyDescent="0.25">
      <c r="A444" s="160">
        <f t="shared" si="363"/>
        <v>669</v>
      </c>
      <c r="B444" s="169">
        <v>42902</v>
      </c>
      <c r="C444" s="211">
        <v>2433.46</v>
      </c>
      <c r="D444" s="168">
        <f t="shared" ref="D444" si="876">(C444-C443)/C443</f>
        <v>4.1110645190465617E-4</v>
      </c>
      <c r="E444" s="205">
        <f t="shared" ref="E444" si="877">(C444-$C$2)/$C$2</f>
        <v>0.15744563459599323</v>
      </c>
      <c r="F444" s="215">
        <v>6166.5</v>
      </c>
      <c r="G444" s="168">
        <f t="shared" ref="G444" si="878">(F444-F443)/F443</f>
        <v>1.6219284729543428E-4</v>
      </c>
      <c r="H444" s="199">
        <f t="shared" ref="H444" si="879">(F444-F$2)/F$2</f>
        <v>0.21108863444429174</v>
      </c>
      <c r="I444" s="217">
        <v>340685.9</v>
      </c>
      <c r="J444" s="170">
        <v>350000</v>
      </c>
      <c r="K444" s="170">
        <f t="shared" ref="K444" si="880">I444-I443-J444+J443</f>
        <v>-2963.0499999999884</v>
      </c>
      <c r="L444" s="168">
        <f t="shared" ref="L444" si="881">K444/I443</f>
        <v>-8.6223164656839147E-3</v>
      </c>
      <c r="M444" s="178">
        <f t="shared" ref="M444" si="882">I444-J444</f>
        <v>-9314.0999999999767</v>
      </c>
      <c r="N444" s="180">
        <f t="shared" ref="N444" si="883">M444/J444</f>
        <v>-2.6611714285714218E-2</v>
      </c>
      <c r="O444" s="179">
        <f t="shared" si="424"/>
        <v>-1.4529041319666843E-2</v>
      </c>
      <c r="P444" s="178" t="b">
        <f t="shared" ref="P444" si="884">L444&gt;D444</f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ref="S444" si="885">I444-R444</f>
        <v>60314.5</v>
      </c>
      <c r="T444" s="170">
        <v>-45235</v>
      </c>
      <c r="U444" s="170">
        <f t="shared" ref="U444" si="886">M444-T444</f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602"/>
        <v>0.58742556502635634</v>
      </c>
      <c r="Y444" s="171">
        <f t="shared" si="603"/>
        <v>-4.5764839163012216E-2</v>
      </c>
      <c r="Z444" s="784">
        <f t="shared" si="604"/>
        <v>-0.18405734888170744</v>
      </c>
    </row>
    <row r="445" spans="1:26" ht="20.100000000000001" customHeight="1" x14ac:dyDescent="0.25">
      <c r="A445" s="160">
        <f t="shared" si="363"/>
        <v>670</v>
      </c>
      <c r="B445" s="169">
        <v>42903</v>
      </c>
      <c r="C445" s="211">
        <v>2453.46</v>
      </c>
      <c r="D445" s="168">
        <f t="shared" ref="D445" si="887">(C445-C444)/C444</f>
        <v>8.2187502568359452E-3</v>
      </c>
      <c r="E445" s="205">
        <f t="shared" ref="E445" si="888">(C445-$C$2)/$C$2</f>
        <v>0.16695839120260267</v>
      </c>
      <c r="F445" s="215">
        <v>6239.01</v>
      </c>
      <c r="G445" s="168">
        <f t="shared" ref="G445" si="889">(F445-F444)/F444</f>
        <v>1.17586961809779E-2</v>
      </c>
      <c r="H445" s="199">
        <f t="shared" ref="H445" si="890">(F445-F$2)/F$2</f>
        <v>0.22532945774495758</v>
      </c>
      <c r="I445" s="217">
        <v>342070.2</v>
      </c>
      <c r="J445" s="170">
        <v>350000</v>
      </c>
      <c r="K445" s="170">
        <f t="shared" ref="K445" si="891">I445-I444-J445+J444</f>
        <v>1384.2999999999884</v>
      </c>
      <c r="L445" s="168">
        <f t="shared" ref="L445" si="892">K445/I444</f>
        <v>4.0632735314258331E-3</v>
      </c>
      <c r="M445" s="178">
        <f t="shared" ref="M445" si="893">I445-J445</f>
        <v>-7929.7999999999884</v>
      </c>
      <c r="N445" s="180">
        <f t="shared" ref="N445" si="894">M445/J445</f>
        <v>-2.2656571428571394E-2</v>
      </c>
      <c r="O445" s="179">
        <f t="shared" si="424"/>
        <v>-1.2351213006396569E-2</v>
      </c>
      <c r="P445" s="178" t="b">
        <f t="shared" ref="P445" si="895">L445&gt;D445</f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ref="S445" si="896">I445-R445</f>
        <v>60314.5</v>
      </c>
      <c r="T445" s="170">
        <v>-44677</v>
      </c>
      <c r="U445" s="170">
        <f t="shared" ref="U445" si="897">M445-T445</f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602"/>
        <v>0.62218285330333911</v>
      </c>
      <c r="Y445" s="171">
        <f t="shared" si="603"/>
        <v>-3.8947482202352612E-2</v>
      </c>
      <c r="Z445" s="784">
        <f t="shared" si="604"/>
        <v>-0.18961496263117406</v>
      </c>
    </row>
    <row r="446" spans="1:26" ht="20.100000000000001" customHeight="1" x14ac:dyDescent="0.25">
      <c r="A446" s="160">
        <f t="shared" si="363"/>
        <v>684</v>
      </c>
      <c r="B446" s="169">
        <v>42917</v>
      </c>
      <c r="C446" s="211">
        <v>2423.41</v>
      </c>
      <c r="D446" s="168">
        <f t="shared" ref="D446" si="898">(C446-C445)/C445</f>
        <v>-1.2248008934321399E-2</v>
      </c>
      <c r="E446" s="205">
        <f t="shared" ref="E446" si="899">(C446-$C$2)/$C$2</f>
        <v>0.15266547440117187</v>
      </c>
      <c r="F446" s="215">
        <v>6140.42</v>
      </c>
      <c r="G446" s="168">
        <f t="shared" ref="G446" si="900">(F446-F445)/F445</f>
        <v>-1.5802186564855665E-2</v>
      </c>
      <c r="H446" s="199">
        <f t="shared" ref="H446" si="901">(F446-F$2)/F$2</f>
        <v>0.20596657305025831</v>
      </c>
      <c r="I446" s="406">
        <v>340097.61</v>
      </c>
      <c r="J446" s="170">
        <v>350000</v>
      </c>
      <c r="K446" s="170">
        <f t="shared" ref="K446" si="902">I446-I445-J446+J445</f>
        <v>-1972.5900000000256</v>
      </c>
      <c r="L446" s="168">
        <f t="shared" ref="L446" si="903">K446/I445</f>
        <v>-5.7666233422263196E-3</v>
      </c>
      <c r="M446" s="406">
        <f t="shared" ref="M446" si="904">I446-J446</f>
        <v>-9902.390000000014</v>
      </c>
      <c r="N446" s="180">
        <f t="shared" ref="N446" si="905">M446/J446</f>
        <v>-2.8292542857142899E-2</v>
      </c>
      <c r="O446" s="179">
        <f t="shared" si="424"/>
        <v>-1.5107969705513806E-2</v>
      </c>
      <c r="P446" s="178" t="b">
        <f t="shared" ref="P446" si="906">L446&gt;D446</f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ref="S446" si="907">I446-R446</f>
        <v>74427.859999999986</v>
      </c>
      <c r="T446" s="170">
        <v>-48327</v>
      </c>
      <c r="U446" s="170">
        <f t="shared" ref="U446:U457" si="908">M446-T446</f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602"/>
        <v>0.55672399514294701</v>
      </c>
      <c r="Y446" s="171">
        <f t="shared" si="603"/>
        <v>-4.7689274365444727E-2</v>
      </c>
      <c r="Z446" s="784">
        <f t="shared" si="604"/>
        <v>-0.18095801725831476</v>
      </c>
    </row>
    <row r="447" spans="1:26" ht="20.100000000000001" customHeight="1" x14ac:dyDescent="0.25">
      <c r="A447" s="160">
        <f t="shared" si="363"/>
        <v>699</v>
      </c>
      <c r="B447" s="169">
        <v>42932</v>
      </c>
      <c r="C447" s="211">
        <v>2459.27</v>
      </c>
      <c r="D447" s="168">
        <f t="shared" ref="D447" si="909">(C447-C446)/C446</f>
        <v>1.4797331033543696E-2</v>
      </c>
      <c r="E447" s="205">
        <f t="shared" ref="E447" si="910">(C447-$C$2)/$C$2</f>
        <v>0.16972184699682269</v>
      </c>
      <c r="F447" s="215">
        <v>6312.46</v>
      </c>
      <c r="G447" s="168">
        <f t="shared" ref="G447" si="911">(F447-F446)/F446</f>
        <v>2.801762745870803E-2</v>
      </c>
      <c r="H447" s="199">
        <f t="shared" ref="H447" si="912">(F447-F$2)/F$2</f>
        <v>0.23975489522163526</v>
      </c>
      <c r="I447" s="217">
        <v>337505.3</v>
      </c>
      <c r="J447" s="170">
        <v>350000</v>
      </c>
      <c r="K447" s="170">
        <f t="shared" ref="K447" si="913">I447-I446-J447+J446</f>
        <v>-2592.3099999999977</v>
      </c>
      <c r="L447" s="168">
        <f t="shared" ref="L447" si="914">K447/I446</f>
        <v>-7.6222529173315791E-3</v>
      </c>
      <c r="M447" s="178">
        <f t="shared" ref="M447" si="915">I447-J447</f>
        <v>-12494.700000000012</v>
      </c>
      <c r="N447" s="180">
        <f t="shared" ref="N447" si="916">M447/J447</f>
        <v>-3.5699142857142888E-2</v>
      </c>
      <c r="O447" s="179">
        <f t="shared" si="424"/>
        <v>-1.8653951256897627E-2</v>
      </c>
      <c r="P447" s="178" t="b">
        <f t="shared" ref="P447" si="917">L447&gt;D447</f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ref="S447" si="918">I447-R447</f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602"/>
        <v>0.60465971820759368</v>
      </c>
      <c r="Y447" s="171">
        <f t="shared" si="603"/>
        <v>-5.8938268385742225E-2</v>
      </c>
      <c r="Z447" s="784">
        <f t="shared" si="604"/>
        <v>-0.20542098985396556</v>
      </c>
    </row>
    <row r="448" spans="1:26" ht="20.100000000000001" customHeight="1" x14ac:dyDescent="0.25">
      <c r="A448" s="160">
        <f t="shared" si="363"/>
        <v>702</v>
      </c>
      <c r="B448" s="169">
        <v>42935</v>
      </c>
      <c r="C448" s="211">
        <v>2473.83</v>
      </c>
      <c r="D448" s="168">
        <f t="shared" ref="D448" si="919">(C448-C447)/C447</f>
        <v>5.9204560702972612E-3</v>
      </c>
      <c r="E448" s="205">
        <f t="shared" ref="E448" si="920">(C448-$C$2)/$C$2</f>
        <v>0.17664713380643438</v>
      </c>
      <c r="F448" s="215">
        <v>6385.04</v>
      </c>
      <c r="G448" s="168">
        <f t="shared" ref="G448" si="921">(F448-F447)/F447</f>
        <v>1.1497894640124441E-2</v>
      </c>
      <c r="H448" s="199">
        <f t="shared" ref="H448" si="922">(F448-F$2)/F$2</f>
        <v>0.25400946638647215</v>
      </c>
      <c r="I448" s="217">
        <v>343410.37</v>
      </c>
      <c r="J448" s="170">
        <v>350000</v>
      </c>
      <c r="K448" s="170">
        <f t="shared" ref="K448" si="923">I448-I447-J448+J447</f>
        <v>5905.070000000007</v>
      </c>
      <c r="L448" s="168">
        <f t="shared" ref="L448" si="924">K448/I447</f>
        <v>1.7496228948108393E-2</v>
      </c>
      <c r="M448" s="178">
        <f t="shared" ref="M448" si="925">I448-J448</f>
        <v>-6589.6300000000047</v>
      </c>
      <c r="N448" s="180">
        <f t="shared" ref="N448" si="926">M448/J448</f>
        <v>-1.8827514285714299E-2</v>
      </c>
      <c r="O448" s="179">
        <f t="shared" si="424"/>
        <v>-9.7959395909645985E-3</v>
      </c>
      <c r="P448" s="178" t="b">
        <f t="shared" ref="P448" si="927">L448&gt;D448</f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ref="S448" si="928">I448-R448</f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602"/>
        <v>0.62709596151319946</v>
      </c>
      <c r="Y448" s="171">
        <f t="shared" si="603"/>
        <v>-3.0959866028433092E-2</v>
      </c>
      <c r="Z448" s="784">
        <f t="shared" si="604"/>
        <v>-0.19547464809214868</v>
      </c>
    </row>
    <row r="449" spans="1:26" ht="20.100000000000001" customHeight="1" x14ac:dyDescent="0.25">
      <c r="A449" s="160">
        <f t="shared" ref="A449:A512" si="929">B449-$B$2</f>
        <v>706</v>
      </c>
      <c r="B449" s="169">
        <v>42939</v>
      </c>
      <c r="C449" s="211">
        <v>2472.54</v>
      </c>
      <c r="D449" s="168">
        <f t="shared" ref="D449" si="930">(C449-C448)/C448</f>
        <v>-5.214586289275996E-4</v>
      </c>
      <c r="E449" s="205">
        <f t="shared" ref="E449" si="931">(C449-$C$2)/$C$2</f>
        <v>0.17603356100530806</v>
      </c>
      <c r="F449" s="215">
        <v>6387.75</v>
      </c>
      <c r="G449" s="168">
        <f t="shared" ref="G449" si="932">(F449-F448)/F448</f>
        <v>4.2442960419982275E-4</v>
      </c>
      <c r="H449" s="199">
        <f t="shared" ref="H449" si="933">(F449-F$2)/F$2</f>
        <v>0.25454170512795338</v>
      </c>
      <c r="I449" s="217">
        <v>341551.16</v>
      </c>
      <c r="J449" s="170">
        <v>350000</v>
      </c>
      <c r="K449" s="170">
        <f t="shared" ref="K449" si="934">I449-I448-J449+J448</f>
        <v>-1859.210000000021</v>
      </c>
      <c r="L449" s="168">
        <f t="shared" ref="L449" si="935">K449/I448</f>
        <v>-5.4139599803000151E-3</v>
      </c>
      <c r="M449" s="178">
        <f t="shared" ref="M449" si="936">I449-J449</f>
        <v>-8448.8400000000256</v>
      </c>
      <c r="N449" s="180">
        <f t="shared" ref="N449" si="937">M449/J449</f>
        <v>-2.4139542857142929E-2</v>
      </c>
      <c r="O449" s="179">
        <f t="shared" si="424"/>
        <v>-1.248862326993124E-2</v>
      </c>
      <c r="P449" s="178" t="b">
        <f t="shared" ref="P449" si="938">L449&gt;D449</f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ref="S449" si="939">I449-R449</f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602"/>
        <v>0.62206790085699526</v>
      </c>
      <c r="Y449" s="171">
        <f t="shared" si="603"/>
        <v>-3.9510652619571714E-2</v>
      </c>
      <c r="Z449" s="784">
        <f t="shared" si="604"/>
        <v>-0.20017310386245099</v>
      </c>
    </row>
    <row r="450" spans="1:26" ht="20.100000000000001" customHeight="1" x14ac:dyDescent="0.25">
      <c r="A450" s="160">
        <f t="shared" si="929"/>
        <v>707</v>
      </c>
      <c r="B450" s="169">
        <v>42940</v>
      </c>
      <c r="C450" s="211">
        <v>2469.91</v>
      </c>
      <c r="D450" s="168">
        <f t="shared" ref="D450" si="940">(C450-C449)/C449</f>
        <v>-1.0636834995592019E-3</v>
      </c>
      <c r="E450" s="205">
        <f t="shared" ref="E450" si="941">(C450-$C$2)/$C$2</f>
        <v>0.17478263351153889</v>
      </c>
      <c r="F450" s="215">
        <v>6410.8</v>
      </c>
      <c r="G450" s="168">
        <f t="shared" ref="G450" si="942">(F450-F449)/F449</f>
        <v>3.6084693358381563E-3</v>
      </c>
      <c r="H450" s="199">
        <f t="shared" ref="H450" si="943">(F450-F$2)/F$2</f>
        <v>0.25906868040143771</v>
      </c>
      <c r="I450" s="217">
        <v>340982.83</v>
      </c>
      <c r="J450" s="170">
        <v>350000</v>
      </c>
      <c r="K450" s="170">
        <f t="shared" ref="K450" si="944">I450-I449-J450+J449</f>
        <v>-568.32999999995809</v>
      </c>
      <c r="L450" s="168">
        <f t="shared" ref="L450" si="945">K450/I449</f>
        <v>-1.6639674126709397E-3</v>
      </c>
      <c r="M450" s="178">
        <f t="shared" ref="M450" si="946">I450-J450</f>
        <v>-9017.1699999999837</v>
      </c>
      <c r="N450" s="180">
        <f t="shared" ref="N450" si="947">M450/J450</f>
        <v>-2.576334285714281E-2</v>
      </c>
      <c r="O450" s="179">
        <f t="shared" si="424"/>
        <v>-1.3309845797130709E-2</v>
      </c>
      <c r="P450" s="178" t="b">
        <f t="shared" ref="P450" si="948">L450&gt;D450</f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ref="S450" si="949">I450-R450</f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602"/>
        <v>0.61744729629894557</v>
      </c>
      <c r="Y450" s="171">
        <f t="shared" si="603"/>
        <v>-4.2155483185343769E-2</v>
      </c>
      <c r="Z450" s="784">
        <f t="shared" si="604"/>
        <v>-0.20054597636868171</v>
      </c>
    </row>
    <row r="451" spans="1:26" ht="20.100000000000001" customHeight="1" x14ac:dyDescent="0.25">
      <c r="A451" s="160">
        <f t="shared" si="929"/>
        <v>708</v>
      </c>
      <c r="B451" s="169">
        <v>42941</v>
      </c>
      <c r="C451" s="211">
        <v>2477.13</v>
      </c>
      <c r="D451" s="168">
        <f t="shared" ref="D451" si="950">(C451-C450)/C450</f>
        <v>2.9231834358337976E-3</v>
      </c>
      <c r="E451" s="205">
        <f t="shared" ref="E451" si="951">(C451-$C$2)/$C$2</f>
        <v>0.17821673864652501</v>
      </c>
      <c r="F451" s="215">
        <v>6412.17</v>
      </c>
      <c r="G451" s="168">
        <f t="shared" ref="G451" si="952">(F451-F450)/F450</f>
        <v>2.1370187808072172E-4</v>
      </c>
      <c r="H451" s="199">
        <f t="shared" ref="H451" si="953">(F451-F$2)/F$2</f>
        <v>0.25933774574307211</v>
      </c>
      <c r="I451" s="217">
        <v>346881.69</v>
      </c>
      <c r="J451" s="170">
        <v>350000</v>
      </c>
      <c r="K451" s="170">
        <f t="shared" ref="K451" si="954">I451-I450-J451+J450</f>
        <v>5898.859999999986</v>
      </c>
      <c r="L451" s="168">
        <f t="shared" ref="L451" si="955">K451/I450</f>
        <v>1.7299580744285527E-2</v>
      </c>
      <c r="M451" s="178">
        <f t="shared" ref="M451" si="956">I451-J451</f>
        <v>-3118.3099999999977</v>
      </c>
      <c r="N451" s="180">
        <f t="shared" ref="N451" si="957">M451/J451</f>
        <v>-8.9094571428571367E-3</v>
      </c>
      <c r="O451" s="179">
        <f t="shared" si="424"/>
        <v>-4.5962983353510858E-3</v>
      </c>
      <c r="P451" s="178" t="b">
        <f t="shared" ref="P451" si="958">L451&gt;D451</f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ref="S451" si="959">I451-R451</f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602"/>
        <v>0.62933980870846162</v>
      </c>
      <c r="Y451" s="171">
        <f t="shared" si="603"/>
        <v>-1.4562039104979175E-2</v>
      </c>
      <c r="Z451" s="784">
        <f t="shared" si="604"/>
        <v>-0.18712619578938214</v>
      </c>
    </row>
    <row r="452" spans="1:26" ht="20.100000000000001" customHeight="1" x14ac:dyDescent="0.25">
      <c r="A452" s="160">
        <f t="shared" si="929"/>
        <v>709</v>
      </c>
      <c r="B452" s="169">
        <v>42942</v>
      </c>
      <c r="C452" s="211">
        <v>2477.83</v>
      </c>
      <c r="D452" s="168">
        <f t="shared" ref="D452" si="960">(C452-C451)/C451</f>
        <v>2.8258508838850525E-4</v>
      </c>
      <c r="E452" s="205">
        <f t="shared" ref="E452" si="961">(C452-$C$2)/$C$2</f>
        <v>0.17854968512775626</v>
      </c>
      <c r="F452" s="215">
        <v>6422.74</v>
      </c>
      <c r="G452" s="168">
        <f t="shared" ref="G452" si="962">(F452-F451)/F451</f>
        <v>1.6484279112998733E-3</v>
      </c>
      <c r="H452" s="199">
        <f t="shared" ref="H452" si="963">(F452-F$2)/F$2</f>
        <v>0.26141367323290848</v>
      </c>
      <c r="I452" s="217">
        <v>344935.7</v>
      </c>
      <c r="J452" s="170">
        <v>350000</v>
      </c>
      <c r="K452" s="170">
        <f t="shared" ref="K452" si="964">I452-I451-J452+J451</f>
        <v>-1945.9899999999907</v>
      </c>
      <c r="L452" s="168">
        <f t="shared" ref="L452" si="965">K452/I451</f>
        <v>-5.6099530649772571E-3</v>
      </c>
      <c r="M452" s="178">
        <f t="shared" ref="M452" si="966">I452-J452</f>
        <v>-5064.2999999999884</v>
      </c>
      <c r="N452" s="180">
        <f t="shared" ref="N452" si="967">M452/J452</f>
        <v>-1.4469428571428538E-2</v>
      </c>
      <c r="O452" s="179">
        <f t="shared" si="424"/>
        <v>-7.4541026596816268E-3</v>
      </c>
      <c r="P452" s="178" t="b">
        <f t="shared" ref="P452" si="968">L452&gt;D452</f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ref="S452" si="969">I452-R452</f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602"/>
        <v>0.63032843254768567</v>
      </c>
      <c r="Y452" s="171">
        <f t="shared" si="603"/>
        <v>-2.3640122354493157E-2</v>
      </c>
      <c r="Z452" s="784">
        <f t="shared" si="604"/>
        <v>-0.19301911369918481</v>
      </c>
    </row>
    <row r="453" spans="1:26" ht="20.100000000000001" customHeight="1" x14ac:dyDescent="0.25">
      <c r="A453" s="160">
        <f t="shared" si="929"/>
        <v>710</v>
      </c>
      <c r="B453" s="169">
        <v>42943</v>
      </c>
      <c r="C453" s="211">
        <v>2475.42</v>
      </c>
      <c r="D453" s="168">
        <f t="shared" ref="D453" si="970">(C453-C452)/C452</f>
        <v>-9.7262524063388312E-4</v>
      </c>
      <c r="E453" s="205">
        <f t="shared" ref="E453" si="971">(C453-$C$2)/$C$2</f>
        <v>0.17740339795665988</v>
      </c>
      <c r="F453" s="215">
        <v>6382.18</v>
      </c>
      <c r="G453" s="168">
        <f t="shared" ref="G453" si="972">(F453-F452)/F452</f>
        <v>-6.3150617960558101E-3</v>
      </c>
      <c r="H453" s="199">
        <f t="shared" ref="H453" si="973">(F453-F$2)/F$2</f>
        <v>0.25344776793605289</v>
      </c>
      <c r="I453" s="217">
        <v>347779.66</v>
      </c>
      <c r="J453" s="170">
        <v>350000</v>
      </c>
      <c r="K453" s="170">
        <f t="shared" ref="K453" si="974">I453-I452-J453+J452</f>
        <v>2843.9599999999627</v>
      </c>
      <c r="L453" s="168">
        <f t="shared" ref="L453" si="975">K453/I452</f>
        <v>8.2448989768236884E-3</v>
      </c>
      <c r="M453" s="178">
        <f t="shared" ref="M453" si="976">I453-J453</f>
        <v>-2220.3400000000256</v>
      </c>
      <c r="N453" s="180">
        <f t="shared" ref="N453" si="977">M453/J453</f>
        <v>-6.343828571428645E-3</v>
      </c>
      <c r="O453" s="179">
        <f t="shared" si="424"/>
        <v>-3.2634977263581869E-3</v>
      </c>
      <c r="P453" s="178" t="b">
        <f t="shared" ref="P453" si="978">L453&gt;D453</f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ref="S453" si="979">I453-R453</f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602"/>
        <v>0.62608001863351337</v>
      </c>
      <c r="Y453" s="171">
        <f t="shared" si="603"/>
        <v>-1.0359641644182118E-2</v>
      </c>
      <c r="Z453" s="784">
        <f t="shared" si="604"/>
        <v>-0.18374722652808853</v>
      </c>
    </row>
    <row r="454" spans="1:26" ht="20.100000000000001" customHeight="1" x14ac:dyDescent="0.25">
      <c r="A454" s="160">
        <f t="shared" si="929"/>
        <v>711</v>
      </c>
      <c r="B454" s="169">
        <v>42944</v>
      </c>
      <c r="C454" s="211">
        <v>2472.1</v>
      </c>
      <c r="D454" s="168">
        <f t="shared" ref="D454" si="980">(C454-C453)/C453</f>
        <v>-1.3411865461215324E-3</v>
      </c>
      <c r="E454" s="205">
        <f t="shared" ref="E454" si="981">(C454-$C$2)/$C$2</f>
        <v>0.17582428035996264</v>
      </c>
      <c r="F454" s="215">
        <v>6374.37</v>
      </c>
      <c r="G454" s="168">
        <f t="shared" ref="G454" si="982">(F454-F453)/F453</f>
        <v>-1.223719794803719E-3</v>
      </c>
      <c r="H454" s="199">
        <f t="shared" ref="H454" si="983">(F454-F$2)/F$2</f>
        <v>0.25191389909067702</v>
      </c>
      <c r="I454" s="217">
        <v>349490.54</v>
      </c>
      <c r="J454" s="170">
        <v>350000</v>
      </c>
      <c r="K454" s="170">
        <f t="shared" ref="K454" si="984">I454-I453-J454+J453</f>
        <v>1710.8800000000047</v>
      </c>
      <c r="L454" s="168">
        <f t="shared" ref="L454" si="985">K454/I453</f>
        <v>4.919436634103342E-3</v>
      </c>
      <c r="M454" s="178">
        <f t="shared" ref="M454" si="986">I454-J454</f>
        <v>-509.46000000002095</v>
      </c>
      <c r="N454" s="180">
        <f t="shared" ref="N454" si="987">M454/J454</f>
        <v>-1.4556000000000599E-3</v>
      </c>
      <c r="O454" s="179">
        <f t="shared" si="424"/>
        <v>-7.4776075949370164E-4</v>
      </c>
      <c r="P454" s="178" t="b">
        <f t="shared" ref="P454" si="988">L454&gt;D454</f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ref="S454" si="989">I454-R454</f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602"/>
        <v>0.62029763629220669</v>
      </c>
      <c r="Y454" s="171">
        <f t="shared" si="603"/>
        <v>-2.3761884860884976E-3</v>
      </c>
      <c r="Z454" s="784">
        <f t="shared" si="604"/>
        <v>-0.1772798803599627</v>
      </c>
    </row>
    <row r="455" spans="1:26" ht="20.100000000000001" customHeight="1" x14ac:dyDescent="0.25">
      <c r="A455" s="160">
        <f t="shared" si="929"/>
        <v>714</v>
      </c>
      <c r="B455" s="169">
        <v>42947</v>
      </c>
      <c r="C455" s="211">
        <v>2470.3000000000002</v>
      </c>
      <c r="D455" s="168">
        <f t="shared" ref="D455" si="990">(C455-C454)/C454</f>
        <v>-7.2812588487509696E-4</v>
      </c>
      <c r="E455" s="205">
        <f t="shared" ref="E455" si="991">(C455-$C$2)/$C$2</f>
        <v>0.17496813226536792</v>
      </c>
      <c r="F455" s="215">
        <v>6348.12</v>
      </c>
      <c r="G455" s="168">
        <f t="shared" ref="G455" si="992">(F455-F454)/F454</f>
        <v>-4.1180540194560404E-3</v>
      </c>
      <c r="H455" s="199">
        <f t="shared" ref="H455" si="993">(F455-F$2)/F$2</f>
        <v>0.24675845002651375</v>
      </c>
      <c r="I455" s="462">
        <v>348754.42</v>
      </c>
      <c r="J455" s="170">
        <v>350000</v>
      </c>
      <c r="K455" s="170">
        <f t="shared" ref="K455" si="994">I455-I454-J455+J454</f>
        <v>-736.11999999999534</v>
      </c>
      <c r="L455" s="168">
        <f t="shared" ref="L455" si="995">K455/I454</f>
        <v>-2.1062658806158111E-3</v>
      </c>
      <c r="M455" s="462">
        <f t="shared" ref="M455" si="996">I455-J455</f>
        <v>-1245.5800000000163</v>
      </c>
      <c r="N455" s="180">
        <f t="shared" ref="N455" si="997">M455/J455</f>
        <v>-3.5588000000000464E-3</v>
      </c>
      <c r="O455" s="179">
        <f t="shared" ref="O455:O518" si="998">N455/(A455/365.25)</f>
        <v>-1.8205205882353178E-3</v>
      </c>
      <c r="P455" s="178" t="b">
        <f t="shared" ref="P455" si="999">L455&gt;D455</f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ref="S455" si="1000">I455-R455</f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602"/>
        <v>0.61535438354440486</v>
      </c>
      <c r="Y455" s="171">
        <f t="shared" si="603"/>
        <v>-5.791447876890456E-3</v>
      </c>
      <c r="Z455" s="784">
        <f t="shared" si="604"/>
        <v>-0.17852693226536798</v>
      </c>
    </row>
    <row r="456" spans="1:26" ht="20.100000000000001" customHeight="1" x14ac:dyDescent="0.25">
      <c r="A456" s="160">
        <f t="shared" si="929"/>
        <v>716</v>
      </c>
      <c r="B456" s="169">
        <v>42949</v>
      </c>
      <c r="C456" s="211">
        <v>2477.5700000000002</v>
      </c>
      <c r="D456" s="168">
        <f t="shared" ref="D456" si="1001">(C456-C455)/C455</f>
        <v>2.9429623932315839E-3</v>
      </c>
      <c r="E456" s="205">
        <f t="shared" ref="E456" si="1002">(C456-$C$2)/$C$2</f>
        <v>0.17842601929187044</v>
      </c>
      <c r="F456" s="215">
        <v>6362.64</v>
      </c>
      <c r="G456" s="168">
        <f t="shared" ref="G456" si="1003">(F456-F455)/F455</f>
        <v>2.2872913555510035E-3</v>
      </c>
      <c r="H456" s="199">
        <f t="shared" ref="H456" si="1004">(F456-F$2)/F$2</f>
        <v>0.24961014985171959</v>
      </c>
      <c r="I456" s="217">
        <v>346224.68</v>
      </c>
      <c r="J456" s="170">
        <v>350000</v>
      </c>
      <c r="K456" s="170">
        <f t="shared" ref="K456" si="1005">I456-I455-J456+J455</f>
        <v>-2529.7399999999907</v>
      </c>
      <c r="L456" s="168">
        <f t="shared" ref="L456" si="1006">K456/I455</f>
        <v>-7.2536428355517062E-3</v>
      </c>
      <c r="M456" s="178">
        <f t="shared" ref="M456" si="1007">I456-J456</f>
        <v>-3775.320000000007</v>
      </c>
      <c r="N456" s="180">
        <f t="shared" ref="N456" si="1008">M456/J456</f>
        <v>-1.0786628571428591E-2</v>
      </c>
      <c r="O456" s="179">
        <f t="shared" si="998"/>
        <v>-5.5025364325618619E-3</v>
      </c>
      <c r="P456" s="178" t="b">
        <f t="shared" ref="P456" si="1009">L456&gt;D456</f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ref="S456" si="1010">I456-R456</f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602"/>
        <v>0.62640125535416991</v>
      </c>
      <c r="Y456" s="171">
        <f t="shared" si="603"/>
        <v>-1.7521169701114871E-2</v>
      </c>
      <c r="Z456" s="784">
        <f t="shared" si="604"/>
        <v>-0.18921264786329903</v>
      </c>
    </row>
    <row r="457" spans="1:26" ht="20.100000000000001" customHeight="1" x14ac:dyDescent="0.25">
      <c r="A457" s="160">
        <f t="shared" si="929"/>
        <v>717</v>
      </c>
      <c r="B457" s="169">
        <v>42950</v>
      </c>
      <c r="C457" s="211">
        <v>2472.16</v>
      </c>
      <c r="D457" s="168">
        <f t="shared" ref="D457" si="1011">(C457-C456)/C456</f>
        <v>-2.1835911800676907E-3</v>
      </c>
      <c r="E457" s="205">
        <f t="shared" ref="E457" si="1012">(C457-$C$2)/$C$2</f>
        <v>0.17585281862978244</v>
      </c>
      <c r="F457" s="215">
        <v>6340.34</v>
      </c>
      <c r="G457" s="168">
        <f t="shared" ref="G457" si="1013">(F457-F456)/F456</f>
        <v>-3.5048344712258089E-3</v>
      </c>
      <c r="H457" s="199">
        <f t="shared" ref="H457" si="1014">(F457-F$2)/F$2</f>
        <v>0.24523047312292562</v>
      </c>
      <c r="I457" s="217">
        <v>348198.95</v>
      </c>
      <c r="J457" s="170">
        <v>350000</v>
      </c>
      <c r="K457" s="170">
        <f t="shared" ref="K457" si="1015">I457-I456-J457+J456</f>
        <v>1974.2700000000186</v>
      </c>
      <c r="L457" s="168">
        <f t="shared" ref="L457" si="1016">K457/I456</f>
        <v>5.7022798028148044E-3</v>
      </c>
      <c r="M457" s="178">
        <f t="shared" ref="M457" si="1017">I457-J457</f>
        <v>-1801.0499999999884</v>
      </c>
      <c r="N457" s="180">
        <f t="shared" ref="N457" si="1018">M457/J457</f>
        <v>-5.1458571428571092E-3</v>
      </c>
      <c r="O457" s="179">
        <f t="shared" si="998"/>
        <v>-2.6213728332336946E-3</v>
      </c>
      <c r="P457" s="178" t="b">
        <f t="shared" ref="P457" si="1019">L457&gt;D457</f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ref="S457" si="1020">I457-R457</f>
        <v>58363.850000000035</v>
      </c>
      <c r="T457" s="170">
        <v>-40278</v>
      </c>
      <c r="U457" s="170">
        <f t="shared" si="908"/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602"/>
        <v>0.61713227010711635</v>
      </c>
      <c r="Y457" s="171">
        <f t="shared" si="603"/>
        <v>-8.3555104637466921E-3</v>
      </c>
      <c r="Z457" s="784">
        <f t="shared" si="604"/>
        <v>-0.18099867577263956</v>
      </c>
    </row>
    <row r="458" spans="1:26" ht="20.100000000000001" customHeight="1" x14ac:dyDescent="0.25">
      <c r="A458" s="160">
        <f t="shared" si="929"/>
        <v>718</v>
      </c>
      <c r="B458" s="169">
        <v>42951</v>
      </c>
      <c r="C458" s="211">
        <v>2476.83</v>
      </c>
      <c r="D458" s="168">
        <f t="shared" ref="D458" si="1021">(C458-C457)/C457</f>
        <v>1.8890363083295875E-3</v>
      </c>
      <c r="E458" s="205">
        <f t="shared" ref="E458" si="1022">(C458-$C$2)/$C$2</f>
        <v>0.17807404729742579</v>
      </c>
      <c r="F458" s="215">
        <v>6351.56</v>
      </c>
      <c r="G458" s="168">
        <f t="shared" ref="G458" si="1023">(F458-F457)/F457</f>
        <v>1.7696211875073346E-3</v>
      </c>
      <c r="H458" s="199">
        <f t="shared" ref="H458" si="1024">(F458-F$2)/F$2</f>
        <v>0.24743405935149373</v>
      </c>
      <c r="I458" s="217">
        <v>352188.09</v>
      </c>
      <c r="J458" s="170">
        <v>350000</v>
      </c>
      <c r="K458" s="170">
        <f t="shared" ref="K458" si="1025">I458-I457-J458+J457</f>
        <v>3989.140000000014</v>
      </c>
      <c r="L458" s="168">
        <f t="shared" ref="L458" si="1026">K458/I457</f>
        <v>1.1456496350721374E-2</v>
      </c>
      <c r="M458" s="178">
        <f t="shared" ref="M458" si="1027">I458-J458</f>
        <v>2188.0900000000256</v>
      </c>
      <c r="N458" s="180">
        <f t="shared" ref="N458" si="1028">M458/J458</f>
        <v>6.2516857142857875E-3</v>
      </c>
      <c r="O458" s="179">
        <f t="shared" si="998"/>
        <v>3.1802621269399495E-3</v>
      </c>
      <c r="P458" s="178" t="b">
        <f t="shared" ref="P458" si="1029">L458&gt;D458</f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" si="1030">I458-R458</f>
        <v>55723.920000000042</v>
      </c>
      <c r="T458" s="170">
        <v>-36936</v>
      </c>
      <c r="U458" s="170">
        <f t="shared" ref="U458" si="1031">M458-T458</f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602"/>
        <v>0.62472565622538812</v>
      </c>
      <c r="Y458" s="171">
        <f t="shared" si="603"/>
        <v>1.0144600541748646E-2</v>
      </c>
      <c r="Z458" s="784">
        <f t="shared" si="604"/>
        <v>-0.17182236158314002</v>
      </c>
    </row>
    <row r="459" spans="1:26" ht="20.100000000000001" customHeight="1" x14ac:dyDescent="0.25">
      <c r="A459" s="160">
        <f t="shared" si="929"/>
        <v>719</v>
      </c>
      <c r="B459" s="169">
        <v>42952</v>
      </c>
      <c r="C459" s="211">
        <v>2480.91</v>
      </c>
      <c r="D459" s="168">
        <f t="shared" ref="D459" si="1032">(C459-C458)/C458</f>
        <v>1.6472668693450609E-3</v>
      </c>
      <c r="E459" s="205">
        <f t="shared" ref="E459" si="1033">(C459-$C$2)/$C$2</f>
        <v>0.18001464964517408</v>
      </c>
      <c r="F459" s="215">
        <v>6383.77</v>
      </c>
      <c r="G459" s="168">
        <f t="shared" ref="G459" si="1034">(F459-F458)/F458</f>
        <v>5.0711951079734797E-3</v>
      </c>
      <c r="H459" s="199">
        <f t="shared" ref="H459" si="1035">(F459-F$2)/F$2</f>
        <v>0.25376004085079651</v>
      </c>
      <c r="I459" s="217">
        <v>348235.03</v>
      </c>
      <c r="J459" s="170">
        <v>350000</v>
      </c>
      <c r="K459" s="170">
        <f t="shared" ref="K459" si="1036">I459-I458-J459+J458</f>
        <v>-3953.0599999999977</v>
      </c>
      <c r="L459" s="168">
        <f t="shared" ref="L459" si="1037">K459/I458</f>
        <v>-1.1224286431718907E-2</v>
      </c>
      <c r="M459" s="178">
        <f t="shared" ref="M459" si="1038">I459-J459</f>
        <v>-1764.9699999999721</v>
      </c>
      <c r="N459" s="180">
        <f t="shared" ref="N459" si="1039">M459/J459</f>
        <v>-5.0427714285713491E-3</v>
      </c>
      <c r="O459" s="179">
        <f t="shared" si="998"/>
        <v>-2.5617138585336376E-3</v>
      </c>
      <c r="P459" s="178" t="b">
        <f t="shared" ref="P459" si="1040">L459&gt;D459</f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ref="S459" si="1041">I459-R459</f>
        <v>55723.920000000042</v>
      </c>
      <c r="T459" s="170">
        <v>-40990</v>
      </c>
      <c r="U459" s="170">
        <f t="shared" ref="U459" si="1042">M459-T459</f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602"/>
        <v>0.63133515671575291</v>
      </c>
      <c r="Y459" s="171">
        <f t="shared" si="603"/>
        <v>-8.1773840472482203E-3</v>
      </c>
      <c r="Z459" s="784">
        <f t="shared" si="604"/>
        <v>-0.18505742107374543</v>
      </c>
    </row>
    <row r="460" spans="1:26" ht="20.100000000000001" customHeight="1" x14ac:dyDescent="0.25">
      <c r="A460" s="160">
        <f t="shared" si="929"/>
        <v>722</v>
      </c>
      <c r="B460" s="169">
        <v>42955</v>
      </c>
      <c r="C460" s="211">
        <v>2474.92</v>
      </c>
      <c r="D460" s="168">
        <f t="shared" ref="D460" si="1043">(C460-C459)/C459</f>
        <v>-2.4144366381689711E-3</v>
      </c>
      <c r="E460" s="205">
        <f t="shared" ref="E460" si="1044">(C460-$C$2)/$C$2</f>
        <v>0.17716557904149466</v>
      </c>
      <c r="F460" s="215">
        <v>6370.46</v>
      </c>
      <c r="G460" s="168">
        <f t="shared" ref="G460" si="1045">(F460-F459)/F459</f>
        <v>-2.0849748659491803E-3</v>
      </c>
      <c r="H460" s="199">
        <f t="shared" ref="H460" si="1046">(F460-F$2)/F$2</f>
        <v>0.25114598267769117</v>
      </c>
      <c r="I460" s="217">
        <v>347445.16</v>
      </c>
      <c r="J460" s="170">
        <v>350000</v>
      </c>
      <c r="K460" s="170">
        <f t="shared" ref="K460" si="1047">I460-I459-J460+J459</f>
        <v>-789.87000000005355</v>
      </c>
      <c r="L460" s="168">
        <f t="shared" ref="L460" si="1048">K460/I459</f>
        <v>-2.2682094905847167E-3</v>
      </c>
      <c r="M460" s="178">
        <f t="shared" ref="M460" si="1049">I460-J460</f>
        <v>-2554.8400000000256</v>
      </c>
      <c r="N460" s="180">
        <f t="shared" ref="N460" si="1050">M460/J460</f>
        <v>-7.2995428571429304E-3</v>
      </c>
      <c r="O460" s="179">
        <f t="shared" si="998"/>
        <v>-3.6927396517610184E-3</v>
      </c>
      <c r="P460" s="178" t="b">
        <f t="shared" ref="P460" si="1051">L460&gt;D460</f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ref="S460" si="1052">I460-R460</f>
        <v>64519.709999999963</v>
      </c>
      <c r="T460" s="170">
        <v>-41466</v>
      </c>
      <c r="U460" s="170">
        <f t="shared" ref="U460:U461" si="1053">M460-T460</f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602"/>
        <v>0.61937478691982528</v>
      </c>
      <c r="Y460" s="171">
        <f t="shared" si="603"/>
        <v>-1.1800478364467081E-2</v>
      </c>
      <c r="Z460" s="784">
        <f t="shared" si="604"/>
        <v>-0.18446512189863759</v>
      </c>
    </row>
    <row r="461" spans="1:26" ht="20.100000000000001" customHeight="1" x14ac:dyDescent="0.25">
      <c r="A461" s="160">
        <f t="shared" si="929"/>
        <v>723</v>
      </c>
      <c r="B461" s="169">
        <v>42956</v>
      </c>
      <c r="C461" s="211">
        <v>2474.02</v>
      </c>
      <c r="D461" s="168">
        <f t="shared" ref="D461" si="1054">(C461-C460)/C460</f>
        <v>-3.6364811791899976E-4</v>
      </c>
      <c r="E461" s="205">
        <f t="shared" ref="E461" si="1055">(C461-$C$2)/$C$2</f>
        <v>0.17673750499419719</v>
      </c>
      <c r="F461" s="215">
        <v>6352.33</v>
      </c>
      <c r="G461" s="168">
        <f t="shared" ref="G461" si="1056">(F461-F460)/F460</f>
        <v>-2.8459483302618821E-3</v>
      </c>
      <c r="H461" s="199">
        <f t="shared" ref="H461" si="1057">(F461-F$2)/F$2</f>
        <v>0.24758528585737577</v>
      </c>
      <c r="I461" s="217">
        <v>344663.89</v>
      </c>
      <c r="J461" s="170">
        <v>350000</v>
      </c>
      <c r="K461" s="170">
        <f t="shared" ref="K461" si="1058">I461-I460-J461+J460</f>
        <v>-2781.2699999999604</v>
      </c>
      <c r="L461" s="168">
        <f t="shared" ref="L461" si="1059">K461/I460</f>
        <v>-8.0049179559731395E-3</v>
      </c>
      <c r="M461" s="178">
        <f t="shared" ref="M461" si="1060">I461-J461</f>
        <v>-5336.109999999986</v>
      </c>
      <c r="N461" s="180">
        <f t="shared" ref="N461" si="1061">M461/J461</f>
        <v>-1.5246028571428531E-2</v>
      </c>
      <c r="O461" s="179">
        <f t="shared" si="998"/>
        <v>-7.7020911973917994E-3</v>
      </c>
      <c r="P461" s="178" t="b">
        <f t="shared" ref="P461" si="1062">L461&gt;D461</f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ref="S461" si="1063">I461-R461</f>
        <v>58769.710000000021</v>
      </c>
      <c r="T461" s="170">
        <v>-43506</v>
      </c>
      <c r="U461" s="170">
        <f t="shared" si="1053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602"/>
        <v>0.61769363630370799</v>
      </c>
      <c r="Y461" s="171">
        <f t="shared" si="603"/>
        <v>-2.4634777804082724E-2</v>
      </c>
      <c r="Z461" s="784">
        <f t="shared" si="604"/>
        <v>-0.19198353356562572</v>
      </c>
    </row>
    <row r="462" spans="1:26" ht="20.100000000000001" customHeight="1" x14ac:dyDescent="0.25">
      <c r="A462" s="160">
        <f t="shared" si="929"/>
        <v>724</v>
      </c>
      <c r="B462" s="169">
        <v>42957</v>
      </c>
      <c r="C462" s="211">
        <v>2438.21</v>
      </c>
      <c r="D462" s="168">
        <f t="shared" ref="D462" si="1064">(C462-C461)/C461</f>
        <v>-1.4474418153450637E-2</v>
      </c>
      <c r="E462" s="205">
        <f t="shared" ref="E462" si="1065">(C462-$C$2)/$C$2</f>
        <v>0.15970491429006295</v>
      </c>
      <c r="F462" s="215">
        <v>6216.87</v>
      </c>
      <c r="G462" s="168">
        <f t="shared" ref="G462" si="1066">(F462-F461)/F461</f>
        <v>-2.1324458899333005E-2</v>
      </c>
      <c r="H462" s="199">
        <f t="shared" ref="H462" si="1067">(F462-F$2)/F$2</f>
        <v>0.22098120470569754</v>
      </c>
      <c r="I462" s="217">
        <v>338857.2</v>
      </c>
      <c r="J462" s="170">
        <v>350000</v>
      </c>
      <c r="K462" s="170">
        <f t="shared" ref="K462" si="1068">I462-I461-J462+J461</f>
        <v>-5806.6900000000023</v>
      </c>
      <c r="L462" s="168">
        <f t="shared" ref="L462" si="1069">K462/I461</f>
        <v>-1.6847398780301594E-2</v>
      </c>
      <c r="M462" s="178">
        <f t="shared" ref="M462" si="1070">I462-J462</f>
        <v>-11142.799999999988</v>
      </c>
      <c r="N462" s="180">
        <f t="shared" ref="N462" si="1071">M462/J462</f>
        <v>-3.1836571428571395E-2</v>
      </c>
      <c r="O462" s="179">
        <f t="shared" si="998"/>
        <v>-1.6061198500394617E-2</v>
      </c>
      <c r="P462" s="178" t="b">
        <f t="shared" ref="P462" si="1072">L462&gt;D462</f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ref="S462" si="1073">I462-R462</f>
        <v>49929.710000000021</v>
      </c>
      <c r="T462" s="170">
        <v>-45429</v>
      </c>
      <c r="U462" s="170">
        <f t="shared" ref="U462:U472" si="1074">M462-T462</f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602"/>
        <v>0.55638822836208146</v>
      </c>
      <c r="Y462" s="171">
        <f t="shared" si="603"/>
        <v>-5.1384371531331227E-2</v>
      </c>
      <c r="Z462" s="784">
        <f t="shared" si="604"/>
        <v>-0.19154148571863433</v>
      </c>
    </row>
    <row r="463" spans="1:26" ht="20.100000000000001" customHeight="1" x14ac:dyDescent="0.25">
      <c r="A463" s="160">
        <f t="shared" si="929"/>
        <v>729</v>
      </c>
      <c r="B463" s="169">
        <v>42962</v>
      </c>
      <c r="C463" s="211">
        <v>2464.61</v>
      </c>
      <c r="D463" s="168">
        <f t="shared" ref="D463" si="1075">(C463-C462)/C462</f>
        <v>1.0827615340762318E-2</v>
      </c>
      <c r="E463" s="205">
        <f t="shared" ref="E463" si="1076">(C463-$C$2)/$C$2</f>
        <v>0.1722617530107875</v>
      </c>
      <c r="F463" s="215">
        <v>6333.01</v>
      </c>
      <c r="G463" s="168">
        <f t="shared" ref="G463" si="1077">(F463-F462)/F462</f>
        <v>1.8681426505621049E-2</v>
      </c>
      <c r="H463" s="199">
        <f t="shared" ref="H463" si="1078">(F463-F$2)/F$2</f>
        <v>0.24379087534615168</v>
      </c>
      <c r="I463" s="217">
        <v>332438.64</v>
      </c>
      <c r="J463" s="170">
        <v>350000</v>
      </c>
      <c r="K463" s="170">
        <f t="shared" ref="K463" si="1079">I463-I462-J463+J462</f>
        <v>-6418.5599999999977</v>
      </c>
      <c r="L463" s="168">
        <f t="shared" ref="L463" si="1080">K463/I462</f>
        <v>-1.8941784326849179E-2</v>
      </c>
      <c r="M463" s="178">
        <f t="shared" ref="M463" si="1081">I463-J463</f>
        <v>-17561.359999999986</v>
      </c>
      <c r="N463" s="180">
        <f t="shared" ref="N463" si="1082">M463/J463</f>
        <v>-5.0175314285714243E-2</v>
      </c>
      <c r="O463" s="179">
        <f t="shared" si="998"/>
        <v>-2.5139277836566703E-2</v>
      </c>
      <c r="P463" s="178" t="b">
        <f t="shared" ref="P463" si="1083">L463&gt;D463</f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ref="S463" si="1084">I463-R463</f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602"/>
        <v>0.59581555741895575</v>
      </c>
      <c r="Y463" s="171">
        <f t="shared" si="603"/>
        <v>-8.0431733918101475E-2</v>
      </c>
      <c r="Z463" s="784">
        <f t="shared" si="604"/>
        <v>-0.22243706729650176</v>
      </c>
    </row>
    <row r="464" spans="1:26" ht="20.100000000000001" customHeight="1" x14ac:dyDescent="0.25">
      <c r="A464" s="160">
        <f t="shared" si="929"/>
        <v>730</v>
      </c>
      <c r="B464" s="169">
        <v>42963</v>
      </c>
      <c r="C464" s="211">
        <v>2468.11</v>
      </c>
      <c r="D464" s="168">
        <f t="shared" ref="D464" si="1085">(C464-C463)/C463</f>
        <v>1.4201029777530724E-3</v>
      </c>
      <c r="E464" s="205">
        <f t="shared" ref="E464" si="1086">(C464-$C$2)/$C$2</f>
        <v>0.17392648541694417</v>
      </c>
      <c r="F464" s="215">
        <v>6345.1</v>
      </c>
      <c r="G464" s="168">
        <f t="shared" ref="G464" si="1087">(F464-F463)/F463</f>
        <v>1.9090448301834586E-3</v>
      </c>
      <c r="H464" s="199">
        <f t="shared" ref="H464" si="1088">(F464-F$2)/F$2</f>
        <v>0.24616532788656059</v>
      </c>
      <c r="I464" s="217">
        <v>331487.06</v>
      </c>
      <c r="J464" s="170">
        <v>350000</v>
      </c>
      <c r="K464" s="170">
        <f t="shared" ref="K464" si="1089">I464-I463-J464+J463</f>
        <v>-951.5800000000163</v>
      </c>
      <c r="L464" s="168">
        <f t="shared" ref="L464" si="1090">K464/I463</f>
        <v>-2.8624229722514095E-3</v>
      </c>
      <c r="M464" s="178">
        <f t="shared" ref="M464" si="1091">I464-J464</f>
        <v>-18512.940000000002</v>
      </c>
      <c r="N464" s="180">
        <f t="shared" ref="N464" si="1092">M464/J464</f>
        <v>-5.2894114285714292E-2</v>
      </c>
      <c r="O464" s="179">
        <f t="shared" si="998"/>
        <v>-2.6465171565557732E-2</v>
      </c>
      <c r="P464" s="178" t="b">
        <f t="shared" ref="P464" si="1093">L464&gt;D464</f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ref="S464" si="1094">I464-R464</f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602"/>
        <v>0.60139368956345107</v>
      </c>
      <c r="Y464" s="171">
        <f t="shared" si="603"/>
        <v>-8.4763513171104282E-2</v>
      </c>
      <c r="Z464" s="784">
        <f t="shared" si="604"/>
        <v>-0.22682059970265844</v>
      </c>
    </row>
    <row r="465" spans="1:26" ht="20.100000000000001" customHeight="1" x14ac:dyDescent="0.25">
      <c r="A465" s="160">
        <f t="shared" si="929"/>
        <v>731</v>
      </c>
      <c r="B465" s="169">
        <v>42964</v>
      </c>
      <c r="C465" s="211">
        <v>2430.0100000000002</v>
      </c>
      <c r="D465" s="168">
        <f t="shared" ref="D465" si="1095">(C465-C464)/C464</f>
        <v>-1.5436913265616163E-2</v>
      </c>
      <c r="E465" s="205">
        <f t="shared" ref="E465" si="1096">(C465-$C$2)/$C$2</f>
        <v>0.15580468408135317</v>
      </c>
      <c r="F465" s="215">
        <v>6221.91</v>
      </c>
      <c r="G465" s="168">
        <f t="shared" ref="G465" si="1097">(F465-F464)/F464</f>
        <v>-1.9414981639375346E-2</v>
      </c>
      <c r="H465" s="199">
        <f t="shared" ref="H465" si="1098">(F465-F$2)/F$2</f>
        <v>0.22197105092601688</v>
      </c>
      <c r="I465" s="217">
        <v>325889.02</v>
      </c>
      <c r="J465" s="170">
        <v>350000</v>
      </c>
      <c r="K465" s="170">
        <f t="shared" ref="K465" si="1099">I465-I464-J465+J464</f>
        <v>-5598.039999999979</v>
      </c>
      <c r="L465" s="168">
        <f t="shared" ref="L465" si="1100">K465/I464</f>
        <v>-1.6887657696200809E-2</v>
      </c>
      <c r="M465" s="178">
        <f t="shared" ref="M465" si="1101">I465-J465</f>
        <v>-24110.979999999981</v>
      </c>
      <c r="N465" s="180">
        <f t="shared" ref="N465" si="1102">M465/J465</f>
        <v>-6.8888514285714228E-2</v>
      </c>
      <c r="O465" s="179">
        <f t="shared" si="998"/>
        <v>-3.4420697459448868E-2</v>
      </c>
      <c r="P465" s="178" t="b">
        <f t="shared" ref="P465" si="1103">L465&gt;D465</f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ref="S465" si="1104">I465-R465</f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602"/>
        <v>0.53683097482860831</v>
      </c>
      <c r="Y465" s="171">
        <f t="shared" si="603"/>
        <v>-0.11027249252926981</v>
      </c>
      <c r="Z465" s="784">
        <f t="shared" si="604"/>
        <v>-0.22469319836706741</v>
      </c>
    </row>
    <row r="466" spans="1:26" ht="20.100000000000001" customHeight="1" x14ac:dyDescent="0.25">
      <c r="A466" s="160">
        <f t="shared" si="929"/>
        <v>734</v>
      </c>
      <c r="B466" s="169">
        <v>42967</v>
      </c>
      <c r="C466" s="211">
        <v>2425.5500000000002</v>
      </c>
      <c r="D466" s="168">
        <f t="shared" ref="D466:D467" si="1105">(C466-C465)/C465</f>
        <v>-1.8353833934839922E-3</v>
      </c>
      <c r="E466" s="205">
        <f t="shared" ref="E466:E467" si="1106">(C466-$C$2)/$C$2</f>
        <v>0.15368333935807924</v>
      </c>
      <c r="F466" s="215">
        <v>6216.52</v>
      </c>
      <c r="G466" s="168">
        <f t="shared" ref="G466:G468" si="1107">(F466-F465)/F465</f>
        <v>-8.6629346936863724E-4</v>
      </c>
      <c r="H466" s="199">
        <f t="shared" ref="H466:H467" si="1108">(F466-F$2)/F$2</f>
        <v>0.22091246538484213</v>
      </c>
      <c r="I466" s="217">
        <v>347339.95</v>
      </c>
      <c r="J466" s="170">
        <v>370000</v>
      </c>
      <c r="K466" s="170">
        <f t="shared" ref="K466" si="1109">I466-I465-J466+J465</f>
        <v>1450.929999999993</v>
      </c>
      <c r="L466" s="168">
        <f t="shared" ref="L466" si="1110">K466/I465</f>
        <v>4.4522211886733496E-3</v>
      </c>
      <c r="M466" s="178">
        <f t="shared" ref="M466" si="1111">I466-J466</f>
        <v>-22660.049999999988</v>
      </c>
      <c r="N466" s="180">
        <f t="shared" ref="N466" si="1112">M466/J466</f>
        <v>-6.1243378378378344E-2</v>
      </c>
      <c r="O466" s="179">
        <f t="shared" si="998"/>
        <v>-3.0475672960085409E-2</v>
      </c>
      <c r="P466" s="178" t="b">
        <f t="shared" ref="P466" si="1113">L466&gt;D466</f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ref="S466" si="1114">I466-R466</f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602"/>
        <v>0.52789521294325603</v>
      </c>
      <c r="Y466" s="171">
        <f t="shared" si="603"/>
        <v>-9.7734682309088633E-2</v>
      </c>
      <c r="Z466" s="784">
        <f t="shared" si="604"/>
        <v>-0.21492671773645758</v>
      </c>
    </row>
    <row r="467" spans="1:26" ht="20.100000000000001" customHeight="1" x14ac:dyDescent="0.25">
      <c r="A467" s="160">
        <f t="shared" si="929"/>
        <v>736</v>
      </c>
      <c r="B467" s="169">
        <v>42969</v>
      </c>
      <c r="C467" s="211">
        <v>2452.5100000000002</v>
      </c>
      <c r="D467" s="168">
        <f t="shared" si="1105"/>
        <v>1.1115004844262141E-2</v>
      </c>
      <c r="E467" s="205">
        <f t="shared" si="1106"/>
        <v>0.16650653526378881</v>
      </c>
      <c r="F467" s="215">
        <v>6297.47</v>
      </c>
      <c r="G467" s="168">
        <f t="shared" si="1107"/>
        <v>1.3021754936845665E-2</v>
      </c>
      <c r="H467" s="199">
        <f t="shared" si="1108"/>
        <v>0.23681088830842362</v>
      </c>
      <c r="I467" s="217">
        <v>347918.93</v>
      </c>
      <c r="J467" s="170">
        <v>370000</v>
      </c>
      <c r="K467" s="170">
        <f t="shared" ref="K467" si="1115">I467-I466-J467+J466</f>
        <v>578.97999999998137</v>
      </c>
      <c r="L467" s="168">
        <f t="shared" ref="L467" si="1116">K467/I466</f>
        <v>1.6668972284932422E-3</v>
      </c>
      <c r="M467" s="178">
        <f t="shared" ref="M467" si="1117">I467-J467</f>
        <v>-22081.070000000007</v>
      </c>
      <c r="N467" s="180">
        <f t="shared" ref="N467" si="1118">M467/J467</f>
        <v>-5.9678567567567585E-2</v>
      </c>
      <c r="O467" s="179">
        <f t="shared" si="998"/>
        <v>-2.9616300005508238E-2</v>
      </c>
      <c r="P467" s="178" t="b">
        <f t="shared" ref="P467" si="1119">L467&gt;D467</f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ref="S467" si="1120">I467-R467</f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602"/>
        <v>0.57014940841763584</v>
      </c>
      <c r="Y467" s="171">
        <f t="shared" si="603"/>
        <v>-9.5080667367544003E-2</v>
      </c>
      <c r="Z467" s="784">
        <f t="shared" si="604"/>
        <v>-0.2261851028313564</v>
      </c>
    </row>
    <row r="468" spans="1:26" ht="20.100000000000001" customHeight="1" x14ac:dyDescent="0.25">
      <c r="A468" s="160">
        <f t="shared" si="929"/>
        <v>739</v>
      </c>
      <c r="B468" s="169">
        <v>42972</v>
      </c>
      <c r="C468" s="211">
        <v>2443.0500000000002</v>
      </c>
      <c r="D468" s="168">
        <f t="shared" ref="D468" si="1121">(C468-C467)/C467</f>
        <v>-3.8572727532201847E-3</v>
      </c>
      <c r="E468" s="205">
        <f t="shared" ref="E468" si="1122">(C468-$C$2)/$C$2</f>
        <v>0.16200700138886251</v>
      </c>
      <c r="F468" s="215">
        <v>6265.64</v>
      </c>
      <c r="G468" s="168">
        <f t="shared" si="1107"/>
        <v>-5.0544107395509505E-3</v>
      </c>
      <c r="H468" s="199">
        <f t="shared" ref="H468" si="1123">(F468-F$2)/F$2</f>
        <v>0.23055953807176396</v>
      </c>
      <c r="I468" s="217">
        <v>350194.37</v>
      </c>
      <c r="J468" s="170">
        <v>370000</v>
      </c>
      <c r="K468" s="170">
        <f t="shared" ref="K468" si="1124">I468-I467-J468+J467</f>
        <v>2275.4400000000023</v>
      </c>
      <c r="L468" s="168">
        <f t="shared" ref="L468" si="1125">K468/I467</f>
        <v>6.5401442801632046E-3</v>
      </c>
      <c r="M468" s="178">
        <f t="shared" ref="M468" si="1126">I468-J468</f>
        <v>-19805.630000000005</v>
      </c>
      <c r="N468" s="180">
        <f t="shared" ref="N468" si="1127">M468/J468</f>
        <v>-5.3528729729729739E-2</v>
      </c>
      <c r="O468" s="179">
        <f t="shared" si="998"/>
        <v>-2.6456520343415137E-2</v>
      </c>
      <c r="P468" s="178" t="b">
        <f t="shared" ref="P468" si="1128">L468&gt;D468</f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ref="S468" si="1129">I468-R468</f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602"/>
        <v>0.55295757681420421</v>
      </c>
      <c r="Y468" s="171">
        <f t="shared" si="603"/>
        <v>-8.5018514968921113E-2</v>
      </c>
      <c r="Z468" s="784">
        <f t="shared" si="604"/>
        <v>-0.21553573111859226</v>
      </c>
    </row>
    <row r="469" spans="1:26" ht="20.100000000000001" customHeight="1" x14ac:dyDescent="0.25">
      <c r="A469" s="160">
        <f t="shared" si="929"/>
        <v>743</v>
      </c>
      <c r="B469" s="169">
        <v>42976</v>
      </c>
      <c r="C469" s="211">
        <v>2446.3000000000002</v>
      </c>
      <c r="D469" s="168">
        <f t="shared" ref="D469" si="1130">(C469-C468)/C468</f>
        <v>1.3303043326988804E-3</v>
      </c>
      <c r="E469" s="205">
        <f t="shared" ref="E469" si="1131">(C469-$C$2)/$C$2</f>
        <v>0.16355282433743656</v>
      </c>
      <c r="F469" s="215">
        <v>6301.88</v>
      </c>
      <c r="G469" s="168">
        <f t="shared" ref="G469" si="1132">(F469-F468)/F468</f>
        <v>5.7839263028197883E-3</v>
      </c>
      <c r="H469" s="199">
        <f t="shared" ref="H469" si="1133">(F469-F$2)/F$2</f>
        <v>0.23767700375120301</v>
      </c>
      <c r="I469" s="217">
        <v>348569.19</v>
      </c>
      <c r="J469" s="170">
        <v>370000</v>
      </c>
      <c r="K469" s="170">
        <f t="shared" ref="K469" si="1134">I469-I468-J469+J468</f>
        <v>-1625.179999999993</v>
      </c>
      <c r="L469" s="168">
        <f t="shared" ref="L469" si="1135">K469/I468</f>
        <v>-4.6407941966628216E-3</v>
      </c>
      <c r="M469" s="178">
        <f t="shared" ref="M469" si="1136">I469-J469</f>
        <v>-21430.809999999998</v>
      </c>
      <c r="N469" s="180">
        <f t="shared" ref="N469" si="1137">M469/J469</f>
        <v>-5.7921108108108105E-2</v>
      </c>
      <c r="O469" s="179">
        <f t="shared" si="998"/>
        <v>-2.847333073551344E-2</v>
      </c>
      <c r="P469" s="178" t="b">
        <f t="shared" ref="P469" si="1138">L469&gt;D469</f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ref="S469" si="1139">I469-R469</f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602"/>
        <v>0.55581844136645131</v>
      </c>
      <c r="Y469" s="171">
        <f t="shared" si="603"/>
        <v>-9.1591776615150278E-2</v>
      </c>
      <c r="Z469" s="784">
        <f t="shared" si="604"/>
        <v>-0.22147393244554467</v>
      </c>
    </row>
    <row r="470" spans="1:26" ht="20.100000000000001" customHeight="1" x14ac:dyDescent="0.25">
      <c r="A470" s="160">
        <f t="shared" si="929"/>
        <v>744</v>
      </c>
      <c r="B470" s="169">
        <v>42977</v>
      </c>
      <c r="C470" s="211">
        <v>2457.59</v>
      </c>
      <c r="D470" s="168">
        <f t="shared" ref="D470" si="1140">(C470-C469)/C469</f>
        <v>4.6151330580877087E-3</v>
      </c>
      <c r="E470" s="205">
        <f t="shared" ref="E470" si="1141">(C470-$C$2)/$C$2</f>
        <v>0.1689227754418676</v>
      </c>
      <c r="F470" s="215">
        <v>6368.3</v>
      </c>
      <c r="G470" s="168">
        <f t="shared" ref="G470" si="1142">(F470-F469)/F469</f>
        <v>1.0539711958970984E-2</v>
      </c>
      <c r="H470" s="199">
        <f t="shared" ref="H470" si="1143">(F470-F$2)/F$2</f>
        <v>0.25072176286898296</v>
      </c>
      <c r="I470" s="217">
        <v>350684.01</v>
      </c>
      <c r="J470" s="170">
        <v>370000</v>
      </c>
      <c r="K470" s="170">
        <f t="shared" ref="K470" si="1144">I470-I469-J470+J469</f>
        <v>2114.820000000007</v>
      </c>
      <c r="L470" s="168">
        <f t="shared" ref="L470" si="1145">K470/I469</f>
        <v>6.0671455213812987E-3</v>
      </c>
      <c r="M470" s="178">
        <f t="shared" ref="M470" si="1146">I470-J470</f>
        <v>-19315.989999999991</v>
      </c>
      <c r="N470" s="180">
        <f t="shared" ref="N470" si="1147">M470/J470</f>
        <v>-5.2205378378378353E-2</v>
      </c>
      <c r="O470" s="179">
        <f t="shared" si="998"/>
        <v>-2.5629051683740179E-2</v>
      </c>
      <c r="P470" s="178" t="b">
        <f t="shared" ref="P470" si="1148">L470&gt;D470</f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ref="S470" si="1149">I470-R470</f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602"/>
        <v>0.57377731788687758</v>
      </c>
      <c r="Y470" s="171">
        <f t="shared" si="603"/>
        <v>-8.2523022304220969E-2</v>
      </c>
      <c r="Z470" s="784">
        <f t="shared" si="604"/>
        <v>-0.22112815382024595</v>
      </c>
    </row>
    <row r="471" spans="1:26" ht="20.100000000000001" customHeight="1" x14ac:dyDescent="0.25">
      <c r="A471" s="160">
        <f t="shared" si="929"/>
        <v>745</v>
      </c>
      <c r="B471" s="169">
        <v>42978</v>
      </c>
      <c r="C471" s="211">
        <v>2471.65</v>
      </c>
      <c r="D471" s="168">
        <f t="shared" ref="D471" si="1150">(C471-C470)/C470</f>
        <v>5.7210519248531875E-3</v>
      </c>
      <c r="E471" s="205">
        <f t="shared" ref="E471" si="1151">(C471-$C$2)/$C$2</f>
        <v>0.175610243336314</v>
      </c>
      <c r="F471" s="215">
        <v>6428.66</v>
      </c>
      <c r="G471" s="168">
        <f t="shared" ref="G471" si="1152">(F471-F470)/F470</f>
        <v>9.4781966929949387E-3</v>
      </c>
      <c r="H471" s="199">
        <f t="shared" ref="H471" si="1153">(F471-F$2)/F$2</f>
        <v>0.26257634974566452</v>
      </c>
      <c r="I471" s="406">
        <v>352584.03</v>
      </c>
      <c r="J471" s="170">
        <v>370000</v>
      </c>
      <c r="K471" s="170">
        <f t="shared" ref="K471" si="1154">I471-I470-J471+J470</f>
        <v>1900.0200000000186</v>
      </c>
      <c r="L471" s="168">
        <f t="shared" ref="L471" si="1155">K471/I470</f>
        <v>5.4180400184200544E-3</v>
      </c>
      <c r="M471" s="406">
        <f t="shared" ref="M471" si="1156">I471-J471</f>
        <v>-17415.969999999972</v>
      </c>
      <c r="N471" s="180">
        <f t="shared" ref="N471" si="1157">M471/J471</f>
        <v>-4.7070189189189114E-2</v>
      </c>
      <c r="O471" s="179">
        <f t="shared" si="998"/>
        <v>-2.3077028995102448E-2</v>
      </c>
      <c r="P471" s="178" t="b">
        <f t="shared" ref="P471" si="1158">L471&gt;D471</f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ref="S471:S472" si="1159">I471-R471</f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602"/>
        <v>0.59610976408419181</v>
      </c>
      <c r="Y471" s="171">
        <f t="shared" si="603"/>
        <v>-7.4379744273624371E-2</v>
      </c>
      <c r="Z471" s="784">
        <f t="shared" si="604"/>
        <v>-0.22268043252550312</v>
      </c>
    </row>
    <row r="472" spans="1:26" ht="20.100000000000001" customHeight="1" x14ac:dyDescent="0.25">
      <c r="A472" s="160">
        <f t="shared" si="929"/>
        <v>746</v>
      </c>
      <c r="B472" s="169">
        <v>42979</v>
      </c>
      <c r="C472" s="211">
        <v>2476.5500000000002</v>
      </c>
      <c r="D472" s="168">
        <f t="shared" ref="D472" si="1160">(C472-C471)/C471</f>
        <v>1.9824813383772341E-3</v>
      </c>
      <c r="E472" s="205">
        <f t="shared" ref="E472" si="1161">(C472-$C$2)/$C$2</f>
        <v>0.17794086870493336</v>
      </c>
      <c r="F472" s="215">
        <v>6435.33</v>
      </c>
      <c r="G472" s="168">
        <f t="shared" ref="G472" si="1162">(F472-F471)/F471</f>
        <v>1.0375412605426438E-3</v>
      </c>
      <c r="H472" s="199">
        <f t="shared" ref="H472" si="1163">(F472-F$2)/F$2</f>
        <v>0.26388632480311097</v>
      </c>
      <c r="I472" s="217">
        <v>336954.37</v>
      </c>
      <c r="J472" s="170">
        <v>350000</v>
      </c>
      <c r="K472" s="170">
        <f t="shared" ref="K472" si="1164">I472-I471-J472+J471</f>
        <v>4370.3399999999674</v>
      </c>
      <c r="L472" s="168">
        <f t="shared" ref="L472" si="1165">K472/I471</f>
        <v>1.2395172861345895E-2</v>
      </c>
      <c r="M472" s="178">
        <f t="shared" ref="M472" si="1166">I472-J472</f>
        <v>-13045.630000000005</v>
      </c>
      <c r="N472" s="180">
        <f t="shared" ref="N472" si="1167">M472/J472</f>
        <v>-3.7273228571428584E-2</v>
      </c>
      <c r="O472" s="179">
        <f t="shared" si="998"/>
        <v>-1.8249392407123713E-2</v>
      </c>
      <c r="P472" s="178" t="b">
        <f t="shared" ref="P472" si="1168">L472&gt;D472</f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1159"/>
        <v>45474.839999999967</v>
      </c>
      <c r="T472" s="170">
        <v>-52981</v>
      </c>
      <c r="U472" s="170">
        <f t="shared" si="1074"/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602"/>
        <v>0.60383570047443835</v>
      </c>
      <c r="Y472" s="171">
        <f t="shared" si="603"/>
        <v>-5.8858406465382505E-2</v>
      </c>
      <c r="Z472" s="784">
        <f t="shared" si="604"/>
        <v>-0.21521409727636195</v>
      </c>
    </row>
    <row r="473" spans="1:26" ht="20.100000000000001" customHeight="1" x14ac:dyDescent="0.25">
      <c r="A473" s="160">
        <f t="shared" si="929"/>
        <v>750</v>
      </c>
      <c r="B473" s="169">
        <v>42983</v>
      </c>
      <c r="C473" s="211">
        <v>2457.85</v>
      </c>
      <c r="D473" s="168">
        <f t="shared" ref="D473" si="1169">(C473-C472)/C472</f>
        <v>-7.5508267549616488E-3</v>
      </c>
      <c r="E473" s="205">
        <f t="shared" ref="E473" si="1170">(C473-$C$2)/$C$2</f>
        <v>0.1690464412777534</v>
      </c>
      <c r="F473" s="215">
        <v>6375.57</v>
      </c>
      <c r="G473" s="168">
        <f t="shared" ref="G473" si="1171">(F473-F472)/F472</f>
        <v>-9.2862370694277094E-3</v>
      </c>
      <c r="H473" s="199">
        <f t="shared" ref="H473" si="1172">(F473-F$2)/F$2</f>
        <v>0.25214957676218158</v>
      </c>
      <c r="I473" s="217">
        <v>336250.61</v>
      </c>
      <c r="J473" s="170">
        <v>350000</v>
      </c>
      <c r="K473" s="170">
        <f t="shared" ref="K473" si="1173">I473-I472-J473+J472</f>
        <v>-703.76000000000931</v>
      </c>
      <c r="L473" s="168">
        <f t="shared" ref="L473" si="1174">K473/I472</f>
        <v>-2.0885914018566056E-3</v>
      </c>
      <c r="M473" s="178">
        <f t="shared" ref="M473" si="1175">I473-J473</f>
        <v>-13749.390000000014</v>
      </c>
      <c r="N473" s="180">
        <f t="shared" ref="N473" si="1176">M473/J473</f>
        <v>-3.9283971428571471E-2</v>
      </c>
      <c r="O473" s="179">
        <f t="shared" si="998"/>
        <v>-1.9131294085714307E-2</v>
      </c>
      <c r="P473" s="178" t="b">
        <f t="shared" ref="P473" si="1177">L473&gt;D473</f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ref="S473" si="1178">I473-R473</f>
        <v>40174.140000000014</v>
      </c>
      <c r="T473" s="170">
        <v>-52601</v>
      </c>
      <c r="U473" s="170">
        <f t="shared" ref="U473" si="1179">M473-T473</f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602"/>
        <v>0.57073805113232579</v>
      </c>
      <c r="Y473" s="171">
        <f t="shared" si="603"/>
        <v>-6.1767506883004947E-2</v>
      </c>
      <c r="Z473" s="784">
        <f t="shared" si="604"/>
        <v>-0.20833041270632485</v>
      </c>
    </row>
    <row r="474" spans="1:26" ht="20.100000000000001" customHeight="1" x14ac:dyDescent="0.25">
      <c r="A474" s="160">
        <f t="shared" si="929"/>
        <v>751</v>
      </c>
      <c r="B474" s="169">
        <v>42984</v>
      </c>
      <c r="C474" s="211">
        <v>2465.54</v>
      </c>
      <c r="D474" s="168">
        <f t="shared" ref="D474" si="1180">(C474-C473)/C473</f>
        <v>3.128750737433145E-3</v>
      </c>
      <c r="E474" s="205">
        <f t="shared" ref="E474" si="1181">(C474-$C$2)/$C$2</f>
        <v>0.17270409619299476</v>
      </c>
      <c r="F474" s="215">
        <v>6393.31</v>
      </c>
      <c r="G474" s="168">
        <f t="shared" ref="G474" si="1182">(F474-F473)/F473</f>
        <v>2.7824963101339474E-3</v>
      </c>
      <c r="H474" s="199">
        <f t="shared" ref="H474" si="1183">(F474-F$2)/F$2</f>
        <v>0.25563367833925815</v>
      </c>
      <c r="I474" s="217">
        <v>342369.21</v>
      </c>
      <c r="J474" s="170">
        <v>350000</v>
      </c>
      <c r="K474" s="170">
        <f t="shared" ref="K474" si="1184">I474-I473-J474+J473</f>
        <v>6118.6000000000349</v>
      </c>
      <c r="L474" s="168">
        <f t="shared" ref="L474" si="1185">K474/I473</f>
        <v>1.8196546914814624E-2</v>
      </c>
      <c r="M474" s="178">
        <f t="shared" ref="M474" si="1186">I474-J474</f>
        <v>-7630.789999999979</v>
      </c>
      <c r="N474" s="180">
        <f t="shared" ref="N474" si="1187">M474/J474</f>
        <v>-2.1802257142857082E-2</v>
      </c>
      <c r="O474" s="179">
        <f t="shared" si="998"/>
        <v>-1.0603561147042008E-2</v>
      </c>
      <c r="P474" s="178" t="b">
        <f t="shared" ref="P474" si="1188">L474&gt;D474</f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ref="S474" si="1189">I474-R474</f>
        <v>86976.560000000027</v>
      </c>
      <c r="T474" s="170">
        <v>-48637</v>
      </c>
      <c r="U474" s="170">
        <f t="shared" ref="U474" si="1190">M474-T474</f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602"/>
        <v>0.58287291742606717</v>
      </c>
      <c r="Y474" s="171">
        <f t="shared" si="603"/>
        <v>-3.4240568013389899E-2</v>
      </c>
      <c r="Z474" s="784">
        <f t="shared" si="604"/>
        <v>-0.19450635333585184</v>
      </c>
    </row>
    <row r="475" spans="1:26" ht="20.100000000000001" customHeight="1" x14ac:dyDescent="0.25">
      <c r="A475" s="160">
        <f t="shared" si="929"/>
        <v>752</v>
      </c>
      <c r="B475" s="169">
        <v>42985</v>
      </c>
      <c r="C475" s="211">
        <v>2465.1</v>
      </c>
      <c r="D475" s="168">
        <f t="shared" ref="D475" si="1191">(C475-C474)/C474</f>
        <v>-1.7845989113948854E-4</v>
      </c>
      <c r="E475" s="205">
        <f t="shared" ref="E475" si="1192">(C475-$C$2)/$C$2</f>
        <v>0.17249481554764931</v>
      </c>
      <c r="F475" s="215">
        <v>6397.86</v>
      </c>
      <c r="G475" s="168">
        <f t="shared" ref="G475" si="1193">(F475-F474)/F474</f>
        <v>7.1168142949415436E-4</v>
      </c>
      <c r="H475" s="199">
        <f t="shared" ref="H475" si="1194">(F475-F$2)/F$2</f>
        <v>0.25652728951037962</v>
      </c>
      <c r="I475" s="217">
        <v>342957.79</v>
      </c>
      <c r="J475" s="170">
        <v>350000</v>
      </c>
      <c r="K475" s="170">
        <f t="shared" ref="K475" si="1195">I475-I474-J475+J474</f>
        <v>588.57999999995809</v>
      </c>
      <c r="L475" s="168">
        <f t="shared" ref="L475" si="1196">K475/I474</f>
        <v>1.7191382367589599E-3</v>
      </c>
      <c r="M475" s="178">
        <f t="shared" ref="M475" si="1197">I475-J475</f>
        <v>-7042.210000000021</v>
      </c>
      <c r="N475" s="180">
        <f t="shared" ref="N475" si="1198">M475/J475</f>
        <v>-2.0120600000000061E-2</v>
      </c>
      <c r="O475" s="179">
        <f t="shared" si="998"/>
        <v>-9.7726717420213056E-3</v>
      </c>
      <c r="P475" s="178" t="b">
        <f t="shared" ref="P475" si="1199">L475&gt;D475</f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ref="S475" si="1200">I475-R475</f>
        <v>84729.229999999981</v>
      </c>
      <c r="T475" s="170">
        <v>-47786</v>
      </c>
      <c r="U475" s="170">
        <f t="shared" ref="U475" si="1201">M475-T475</f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1202">E475/(A475/365.25)/V475</f>
        <v>0.58200698201600387</v>
      </c>
      <c r="Y475" s="171">
        <f t="shared" ref="Y475:Y538" si="1203">O475/W475</f>
        <v>-3.1590807569428198E-2</v>
      </c>
      <c r="Z475" s="784">
        <f t="shared" ref="Z475:Z538" si="1204">-(E475-N475)</f>
        <v>-0.19261541554764938</v>
      </c>
    </row>
    <row r="476" spans="1:26" ht="20.100000000000001" customHeight="1" x14ac:dyDescent="0.25">
      <c r="A476" s="160">
        <f t="shared" si="929"/>
        <v>753</v>
      </c>
      <c r="B476" s="169">
        <v>42986</v>
      </c>
      <c r="C476" s="211">
        <v>2461.4299999999998</v>
      </c>
      <c r="D476" s="168">
        <f t="shared" ref="D476" si="1205">(C476-C475)/C475</f>
        <v>-1.4887834164942894E-3</v>
      </c>
      <c r="E476" s="205">
        <f t="shared" ref="E476" si="1206">(C476-$C$2)/$C$2</f>
        <v>0.17074922471033646</v>
      </c>
      <c r="F476" s="215">
        <v>6360.39</v>
      </c>
      <c r="G476" s="168">
        <f t="shared" ref="G476" si="1207">(F476-F475)/F475</f>
        <v>-5.8566458159446041E-3</v>
      </c>
      <c r="H476" s="199">
        <f t="shared" ref="H476" si="1208">(F476-F$2)/F$2</f>
        <v>0.24916825421764843</v>
      </c>
      <c r="I476" s="217">
        <v>335342.87</v>
      </c>
      <c r="J476" s="170">
        <v>350000</v>
      </c>
      <c r="K476" s="170">
        <f t="shared" ref="K476" si="1209">I476-I475-J476+J475</f>
        <v>-7614.9199999999837</v>
      </c>
      <c r="L476" s="168">
        <f t="shared" ref="L476" si="1210">K476/I475</f>
        <v>-2.2203665354853099E-2</v>
      </c>
      <c r="M476" s="178">
        <f t="shared" ref="M476" si="1211">I476-J476</f>
        <v>-14657.130000000005</v>
      </c>
      <c r="N476" s="180">
        <f t="shared" ref="N476" si="1212">M476/J476</f>
        <v>-4.1877514285714297E-2</v>
      </c>
      <c r="O476" s="179">
        <f t="shared" si="998"/>
        <v>-2.0313097068867393E-2</v>
      </c>
      <c r="P476" s="178" t="b">
        <f t="shared" ref="P476" si="1213">L476&gt;D476</f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ref="S476" si="1214">I476-R476</f>
        <v>85352.239999999991</v>
      </c>
      <c r="T476" s="170">
        <v>-54714</v>
      </c>
      <c r="U476" s="170">
        <f t="shared" ref="U476" si="1215">M476-T476</f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1202"/>
        <v>0.57593554273886038</v>
      </c>
      <c r="Y476" s="171">
        <f t="shared" si="1203"/>
        <v>-6.5640243827316494E-2</v>
      </c>
      <c r="Z476" s="784">
        <f t="shared" si="1204"/>
        <v>-0.21262673899605075</v>
      </c>
    </row>
    <row r="477" spans="1:26" ht="20.100000000000001" customHeight="1" x14ac:dyDescent="0.25">
      <c r="A477" s="160">
        <f t="shared" si="929"/>
        <v>756</v>
      </c>
      <c r="B477" s="169">
        <v>42989</v>
      </c>
      <c r="C477" s="211">
        <v>2488.11</v>
      </c>
      <c r="D477" s="168">
        <f t="shared" ref="D477" si="1216">(C477-C476)/C476</f>
        <v>1.0839227603466397E-2</v>
      </c>
      <c r="E477" s="205">
        <f t="shared" ref="E477" si="1217">(C477-$C$2)/$C$2</f>
        <v>0.18343924202355361</v>
      </c>
      <c r="F477" s="215">
        <v>6432.26</v>
      </c>
      <c r="G477" s="168">
        <f t="shared" ref="G477" si="1218">(F477-F476)/F476</f>
        <v>1.1299621564086461E-2</v>
      </c>
      <c r="H477" s="199">
        <f t="shared" ref="H477" si="1219">(F477-F$2)/F$2</f>
        <v>0.26328338276017843</v>
      </c>
      <c r="I477" s="217">
        <v>339751.59</v>
      </c>
      <c r="J477" s="170">
        <v>350000</v>
      </c>
      <c r="K477" s="170">
        <f t="shared" ref="K477" si="1220">I477-I476-J477+J476</f>
        <v>4408.7200000000303</v>
      </c>
      <c r="L477" s="168">
        <f t="shared" ref="L477" si="1221">K477/I476</f>
        <v>1.3146902452406489E-2</v>
      </c>
      <c r="M477" s="178">
        <f t="shared" ref="M477" si="1222">I477-J477</f>
        <v>-10248.409999999974</v>
      </c>
      <c r="N477" s="180">
        <f t="shared" ref="N477" si="1223">M477/J477</f>
        <v>-2.9281171428571354E-2</v>
      </c>
      <c r="O477" s="179">
        <f t="shared" si="998"/>
        <v>-1.4146756434240326E-2</v>
      </c>
      <c r="P477" s="178" t="b">
        <f t="shared" ref="P477" si="1224">L477&gt;D477</f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ref="S477" si="1225">I477-R477</f>
        <v>96033.47000000003</v>
      </c>
      <c r="T477" s="170">
        <v>-52678</v>
      </c>
      <c r="U477" s="170">
        <f t="shared" ref="U477" si="1226">M477-T477</f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1202"/>
        <v>0.6160679046184423</v>
      </c>
      <c r="Y477" s="171">
        <f t="shared" si="1203"/>
        <v>-4.574146736857939E-2</v>
      </c>
      <c r="Z477" s="784">
        <f t="shared" si="1204"/>
        <v>-0.21272041345212495</v>
      </c>
    </row>
    <row r="478" spans="1:26" ht="20.100000000000001" customHeight="1" x14ac:dyDescent="0.25">
      <c r="A478" s="160">
        <f t="shared" si="929"/>
        <v>757</v>
      </c>
      <c r="B478" s="169">
        <v>42990</v>
      </c>
      <c r="C478" s="211">
        <v>2496.48</v>
      </c>
      <c r="D478" s="168">
        <f t="shared" ref="D478" si="1227">(C478-C477)/C477</f>
        <v>3.3639991801005143E-3</v>
      </c>
      <c r="E478" s="205">
        <f t="shared" ref="E478" si="1228">(C478-$C$2)/$C$2</f>
        <v>0.18742033066341962</v>
      </c>
      <c r="F478" s="215">
        <v>6454.28</v>
      </c>
      <c r="G478" s="168">
        <f t="shared" ref="G478" si="1229">(F478-F477)/F477</f>
        <v>3.4233690802298921E-3</v>
      </c>
      <c r="H478" s="199">
        <f t="shared" ref="H478" si="1230">(F478-F$2)/F$2</f>
        <v>0.26760806803228782</v>
      </c>
      <c r="I478" s="217">
        <v>342729.25</v>
      </c>
      <c r="J478" s="170">
        <v>350000</v>
      </c>
      <c r="K478" s="170">
        <f t="shared" ref="K478" si="1231">I478-I477-J478+J477</f>
        <v>2977.6599999999744</v>
      </c>
      <c r="L478" s="168">
        <f t="shared" ref="L478" si="1232">K478/I477</f>
        <v>8.7642268281951947E-3</v>
      </c>
      <c r="M478" s="178">
        <f t="shared" ref="M478" si="1233">I478-J478</f>
        <v>-7270.75</v>
      </c>
      <c r="N478" s="180">
        <f t="shared" ref="N478" si="1234">M478/J478</f>
        <v>-2.0773571428571429E-2</v>
      </c>
      <c r="O478" s="179">
        <f t="shared" si="998"/>
        <v>-1.0023179609360257E-2</v>
      </c>
      <c r="P478" s="178" t="b">
        <f t="shared" ref="P478" si="1235">L478&gt;D478</f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ref="S478" si="1236">I478-R478</f>
        <v>99441.390000000014</v>
      </c>
      <c r="T478" s="170">
        <v>-50978</v>
      </c>
      <c r="U478" s="170">
        <f t="shared" ref="U478" si="1237">M478-T478</f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1202"/>
        <v>0.62919829818008466</v>
      </c>
      <c r="Y478" s="171">
        <f t="shared" si="1203"/>
        <v>-3.2436223015335816E-2</v>
      </c>
      <c r="Z478" s="784">
        <f t="shared" si="1204"/>
        <v>-0.20819390209199104</v>
      </c>
    </row>
    <row r="479" spans="1:26" ht="20.100000000000001" customHeight="1" x14ac:dyDescent="0.25">
      <c r="A479" s="160">
        <f t="shared" si="929"/>
        <v>758</v>
      </c>
      <c r="B479" s="169">
        <v>42991</v>
      </c>
      <c r="C479" s="211">
        <v>2498.37</v>
      </c>
      <c r="D479" s="168">
        <f t="shared" ref="D479" si="1238">(C479-C478)/C478</f>
        <v>7.5706594885593817E-4</v>
      </c>
      <c r="E479" s="205">
        <f t="shared" ref="E479" si="1239">(C479-$C$2)/$C$2</f>
        <v>0.18831928616274415</v>
      </c>
      <c r="F479" s="215">
        <v>6460.18</v>
      </c>
      <c r="G479" s="168">
        <f t="shared" ref="G479" si="1240">(F479-F478)/F478</f>
        <v>9.1412210192314957E-4</v>
      </c>
      <c r="H479" s="199">
        <f t="shared" ref="H479" si="1241">(F479-F$2)/F$2</f>
        <v>0.26876681658385226</v>
      </c>
      <c r="I479" s="217">
        <v>346163.11</v>
      </c>
      <c r="J479" s="170">
        <v>350000</v>
      </c>
      <c r="K479" s="170">
        <f t="shared" ref="K479" si="1242">I479-I478-J479+J478</f>
        <v>3433.859999999986</v>
      </c>
      <c r="L479" s="168">
        <f t="shared" ref="L479" si="1243">K479/I478</f>
        <v>1.0019162356291404E-2</v>
      </c>
      <c r="M479" s="178">
        <f t="shared" ref="M479" si="1244">I479-J479</f>
        <v>-3836.890000000014</v>
      </c>
      <c r="N479" s="180">
        <f t="shared" ref="N479" si="1245">M479/J479</f>
        <v>-1.0962542857142897E-2</v>
      </c>
      <c r="O479" s="179">
        <f t="shared" si="998"/>
        <v>-5.2824126366377878E-3</v>
      </c>
      <c r="P479" s="178" t="b">
        <f t="shared" ref="P479" si="1246">L479&gt;D479</f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ref="S479" si="1247">I479-R479</f>
        <v>109362.65999999997</v>
      </c>
      <c r="T479" s="170">
        <v>-48114</v>
      </c>
      <c r="U479" s="170">
        <f t="shared" ref="U479" si="1248">M479-T479</f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1202"/>
        <v>0.63204540986420232</v>
      </c>
      <c r="Y479" s="171">
        <f t="shared" si="1203"/>
        <v>-1.7108057085203882E-2</v>
      </c>
      <c r="Z479" s="784">
        <f t="shared" si="1204"/>
        <v>-0.19928182901988706</v>
      </c>
    </row>
    <row r="480" spans="1:26" ht="20.100000000000001" customHeight="1" x14ac:dyDescent="0.25">
      <c r="A480" s="160">
        <f t="shared" si="929"/>
        <v>759</v>
      </c>
      <c r="B480" s="169">
        <v>42992</v>
      </c>
      <c r="C480" s="211">
        <v>2495.62</v>
      </c>
      <c r="D480" s="168">
        <f t="shared" ref="D480" si="1249">(C480-C479)/C479</f>
        <v>-1.1007176679194836E-3</v>
      </c>
      <c r="E480" s="205">
        <f t="shared" ref="E480" si="1250">(C480-$C$2)/$C$2</f>
        <v>0.18701128212933535</v>
      </c>
      <c r="F480" s="215">
        <v>6429.08</v>
      </c>
      <c r="G480" s="168">
        <f t="shared" ref="G480" si="1251">(F480-F479)/F479</f>
        <v>-4.8141073468541684E-3</v>
      </c>
      <c r="H480" s="199">
        <f t="shared" ref="H480" si="1252">(F480-F$2)/F$2</f>
        <v>0.26265883693069114</v>
      </c>
      <c r="I480" s="217">
        <v>344939.43</v>
      </c>
      <c r="J480" s="170">
        <v>350000</v>
      </c>
      <c r="K480" s="170">
        <f t="shared" ref="K480" si="1253">I480-I479-J480+J479</f>
        <v>-1223.679999999993</v>
      </c>
      <c r="L480" s="168">
        <f t="shared" ref="L480" si="1254">K480/I479</f>
        <v>-3.5349809516097572E-3</v>
      </c>
      <c r="M480" s="178">
        <f t="shared" ref="M480" si="1255">I480-J480</f>
        <v>-5060.570000000007</v>
      </c>
      <c r="N480" s="180">
        <f t="shared" ref="N480" si="1256">M480/J480</f>
        <v>-1.4458771428571448E-2</v>
      </c>
      <c r="O480" s="179">
        <f t="shared" si="998"/>
        <v>-6.9579265669113587E-3</v>
      </c>
      <c r="P480" s="178" t="b">
        <f t="shared" ref="P480" si="1257">L480&gt;D480</f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ref="S480" si="1258">I480-R480</f>
        <v>109362.66</v>
      </c>
      <c r="T480" s="170">
        <v>-48830</v>
      </c>
      <c r="U480" s="170">
        <f t="shared" ref="U480" si="1259">M480-T480</f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1202"/>
        <v>0.62746839682357036</v>
      </c>
      <c r="Y480" s="171">
        <f t="shared" si="1203"/>
        <v>-2.2557231029071877E-2</v>
      </c>
      <c r="Z480" s="784">
        <f t="shared" si="1204"/>
        <v>-0.20147005355790679</v>
      </c>
    </row>
    <row r="481" spans="1:26" ht="20.100000000000001" customHeight="1" x14ac:dyDescent="0.25">
      <c r="A481" s="160">
        <f t="shared" si="929"/>
        <v>760</v>
      </c>
      <c r="B481" s="169">
        <v>42993</v>
      </c>
      <c r="C481" s="211">
        <v>2500.23</v>
      </c>
      <c r="D481" s="168">
        <f t="shared" ref="D481" si="1260">(C481-C480)/C480</f>
        <v>1.8472363580994413E-3</v>
      </c>
      <c r="E481" s="205">
        <f t="shared" ref="E481" si="1261">(C481-$C$2)/$C$2</f>
        <v>0.1892039725271589</v>
      </c>
      <c r="F481" s="215">
        <v>6448.66</v>
      </c>
      <c r="G481" s="168">
        <f t="shared" ref="G481" si="1262">(F481-F480)/F480</f>
        <v>3.0455368419742682E-3</v>
      </c>
      <c r="H481" s="199">
        <f t="shared" ref="H481" si="1263">(F481-F$2)/F$2</f>
        <v>0.26650431093740795</v>
      </c>
      <c r="I481" s="217">
        <v>346855.18</v>
      </c>
      <c r="J481" s="170">
        <v>350000</v>
      </c>
      <c r="K481" s="170">
        <f t="shared" ref="K481" si="1264">I481-I480-J481+J480</f>
        <v>1915.75</v>
      </c>
      <c r="L481" s="168">
        <f t="shared" ref="L481" si="1265">K481/I480</f>
        <v>5.5538736177537023E-3</v>
      </c>
      <c r="M481" s="178">
        <f t="shared" ref="M481" si="1266">I481-J481</f>
        <v>-3144.820000000007</v>
      </c>
      <c r="N481" s="180">
        <f t="shared" ref="N481" si="1267">M481/J481</f>
        <v>-8.9852000000000196E-3</v>
      </c>
      <c r="O481" s="179">
        <f t="shared" si="998"/>
        <v>-4.3182161842105363E-3</v>
      </c>
      <c r="P481" s="178" t="b">
        <f t="shared" ref="P481" si="1268">L481&gt;D481</f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ref="S481" si="1269">I481-R481</f>
        <v>102716.56</v>
      </c>
      <c r="T481" s="170">
        <v>-47636</v>
      </c>
      <c r="U481" s="170">
        <f t="shared" ref="U481" si="1270">M481-T481</f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1202"/>
        <v>0.63463727453909613</v>
      </c>
      <c r="Y481" s="171">
        <f t="shared" si="1203"/>
        <v>-1.4013040194897561E-2</v>
      </c>
      <c r="Z481" s="784">
        <f t="shared" si="1204"/>
        <v>-0.19818917252715892</v>
      </c>
    </row>
    <row r="482" spans="1:26" ht="20.100000000000001" customHeight="1" x14ac:dyDescent="0.25">
      <c r="A482" s="160">
        <f t="shared" si="929"/>
        <v>763</v>
      </c>
      <c r="B482" s="169">
        <v>42996</v>
      </c>
      <c r="C482" s="211">
        <v>2503.87</v>
      </c>
      <c r="D482" s="168">
        <f t="shared" ref="D482" si="1271">(C482-C481)/C481</f>
        <v>1.4558660603223993E-3</v>
      </c>
      <c r="E482" s="205">
        <f t="shared" ref="E482" si="1272">(C482-$C$2)/$C$2</f>
        <v>0.19093529422956176</v>
      </c>
      <c r="F482" s="215">
        <v>6454.63</v>
      </c>
      <c r="G482" s="168">
        <f t="shared" ref="G482" si="1273">(F482-F481)/F481</f>
        <v>9.2577372663472024E-4</v>
      </c>
      <c r="H482" s="199">
        <f t="shared" ref="H482" si="1274">(F482-F$2)/F$2</f>
        <v>0.26767680735314342</v>
      </c>
      <c r="I482" s="217">
        <v>347277.37</v>
      </c>
      <c r="J482" s="170">
        <v>350000</v>
      </c>
      <c r="K482" s="170">
        <f t="shared" ref="K482" si="1275">I482-I481-J482+J481</f>
        <v>422.19000000000233</v>
      </c>
      <c r="L482" s="168">
        <f t="shared" ref="L482" si="1276">K482/I481</f>
        <v>1.217193873247049E-3</v>
      </c>
      <c r="M482" s="178">
        <f t="shared" ref="M482" si="1277">I482-J482</f>
        <v>-2722.6300000000047</v>
      </c>
      <c r="N482" s="180">
        <f t="shared" ref="N482" si="1278">M482/J482</f>
        <v>-7.7789428571428702E-3</v>
      </c>
      <c r="O482" s="179">
        <f t="shared" si="998"/>
        <v>-3.7237993166073834E-3</v>
      </c>
      <c r="P482" s="178" t="b">
        <f t="shared" ref="P482" si="1279">L482&gt;D482</f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ref="S482" si="1280">I482-R482</f>
        <v>101670.94999999998</v>
      </c>
      <c r="T482" s="170">
        <v>-47720</v>
      </c>
      <c r="U482" s="170">
        <f t="shared" ref="U482" si="1281">M482-T482</f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1202"/>
        <v>0.63858428573753245</v>
      </c>
      <c r="Y482" s="171">
        <f t="shared" si="1203"/>
        <v>-1.2096706911903963E-2</v>
      </c>
      <c r="Z482" s="784">
        <f t="shared" si="1204"/>
        <v>-0.19871423708670463</v>
      </c>
    </row>
    <row r="483" spans="1:26" ht="20.100000000000001" customHeight="1" x14ac:dyDescent="0.25">
      <c r="A483" s="160">
        <f t="shared" si="929"/>
        <v>764</v>
      </c>
      <c r="B483" s="169">
        <v>42997</v>
      </c>
      <c r="C483" s="211">
        <v>2506.65</v>
      </c>
      <c r="D483" s="168">
        <f t="shared" ref="D483" si="1282">(C483-C482)/C482</f>
        <v>1.1102812845715632E-3</v>
      </c>
      <c r="E483" s="205">
        <f t="shared" ref="E483" si="1283">(C483-$C$2)/$C$2</f>
        <v>0.19225756739788058</v>
      </c>
      <c r="F483" s="215">
        <v>6461.32</v>
      </c>
      <c r="G483" s="168">
        <f t="shared" ref="G483" si="1284">(F483-F482)/F482</f>
        <v>1.036465297003794E-3</v>
      </c>
      <c r="H483" s="199">
        <f t="shared" ref="H483" si="1285">(F483-F$2)/F$2</f>
        <v>0.26899071037178152</v>
      </c>
      <c r="I483" s="217">
        <v>345709.56</v>
      </c>
      <c r="J483" s="170">
        <v>350000</v>
      </c>
      <c r="K483" s="170">
        <f t="shared" ref="K483" si="1286">I483-I482-J483+J482</f>
        <v>-1567.8099999999977</v>
      </c>
      <c r="L483" s="168">
        <f t="shared" ref="L483" si="1287">K483/I482</f>
        <v>-4.5145757697946098E-3</v>
      </c>
      <c r="M483" s="178">
        <f t="shared" ref="M483" si="1288">I483-J483</f>
        <v>-4290.4400000000023</v>
      </c>
      <c r="N483" s="180">
        <f t="shared" ref="N483" si="1289">M483/J483</f>
        <v>-1.2258400000000006E-2</v>
      </c>
      <c r="O483" s="179">
        <f t="shared" si="998"/>
        <v>-5.8604458115183271E-3</v>
      </c>
      <c r="P483" s="178" t="b">
        <f t="shared" ref="P483" si="1290">L483&gt;D483</f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ref="S483" si="1291">I483-R483</f>
        <v>99467.32</v>
      </c>
      <c r="T483" s="170">
        <v>-48500</v>
      </c>
      <c r="U483" s="170">
        <f t="shared" ref="U483" si="1292">M483-T483</f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1202"/>
        <v>0.64283087183905108</v>
      </c>
      <c r="Y483" s="171">
        <f t="shared" si="1203"/>
        <v>-1.9056183238630692E-2</v>
      </c>
      <c r="Z483" s="784">
        <f t="shared" si="1204"/>
        <v>-0.20451596739788058</v>
      </c>
    </row>
    <row r="484" spans="1:26" ht="20.100000000000001" customHeight="1" x14ac:dyDescent="0.25">
      <c r="A484" s="160">
        <f t="shared" si="929"/>
        <v>765</v>
      </c>
      <c r="B484" s="169">
        <v>42998</v>
      </c>
      <c r="C484" s="211">
        <v>2508.2399999999998</v>
      </c>
      <c r="D484" s="168">
        <f t="shared" ref="D484:D490" si="1293">(C484-C483)/C483</f>
        <v>6.3431272814301587E-4</v>
      </c>
      <c r="E484" s="205">
        <f t="shared" ref="E484" si="1294">(C484-$C$2)/$C$2</f>
        <v>0.19301383154810586</v>
      </c>
      <c r="F484" s="215">
        <v>6456.04</v>
      </c>
      <c r="G484" s="168">
        <f t="shared" ref="G484:G490" si="1295">(F484-F483)/F483</f>
        <v>-8.1717048528779659E-4</v>
      </c>
      <c r="H484" s="199">
        <f t="shared" ref="H484:H489" si="1296">(F484-F$2)/F$2</f>
        <v>0.26795372861716132</v>
      </c>
      <c r="I484" s="217">
        <v>347542.31</v>
      </c>
      <c r="J484" s="170">
        <v>350000</v>
      </c>
      <c r="K484" s="170">
        <f t="shared" ref="K484:K489" si="1297">I484-I483-J484+J483</f>
        <v>1832.75</v>
      </c>
      <c r="L484" s="168">
        <f t="shared" ref="L484:L489" si="1298">K484/I483</f>
        <v>5.3014154424887759E-3</v>
      </c>
      <c r="M484" s="178">
        <f t="shared" ref="M484" si="1299">I484-J484</f>
        <v>-2457.6900000000023</v>
      </c>
      <c r="N484" s="180">
        <f t="shared" ref="N484" si="1300">M484/J484</f>
        <v>-7.0219714285714354E-3</v>
      </c>
      <c r="O484" s="179">
        <f t="shared" si="998"/>
        <v>-3.3526471428571456E-3</v>
      </c>
      <c r="P484" s="178" t="b">
        <f t="shared" ref="P484" si="1301">L484&gt;D484</f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ref="S484" si="1302">I484-R484</f>
        <v>85573.22</v>
      </c>
      <c r="T484" s="170">
        <v>-45800</v>
      </c>
      <c r="U484" s="170">
        <f t="shared" ref="U484" si="1303">M484-T484</f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1202"/>
        <v>0.64518649413544193</v>
      </c>
      <c r="Y484" s="171">
        <f t="shared" si="1203"/>
        <v>-1.0912278565449038E-2</v>
      </c>
      <c r="Z484" s="784">
        <f t="shared" si="1204"/>
        <v>-0.20003580297667731</v>
      </c>
    </row>
    <row r="485" spans="1:26" ht="20.100000000000001" customHeight="1" x14ac:dyDescent="0.25">
      <c r="A485" s="160">
        <f t="shared" si="929"/>
        <v>766</v>
      </c>
      <c r="B485" s="169">
        <v>42999</v>
      </c>
      <c r="C485" s="211">
        <v>2500.6</v>
      </c>
      <c r="D485" s="168">
        <f t="shared" si="1293"/>
        <v>-3.0459605141453265E-3</v>
      </c>
      <c r="E485" s="205">
        <f t="shared" ref="E485" si="1304">(C485-$C$2)/$C$2</f>
        <v>0.18937995852438111</v>
      </c>
      <c r="F485" s="215">
        <v>6422.69</v>
      </c>
      <c r="G485" s="168">
        <f t="shared" si="1295"/>
        <v>-5.1657052930279808E-3</v>
      </c>
      <c r="H485" s="199">
        <f t="shared" si="1296"/>
        <v>0.26140385332992905</v>
      </c>
      <c r="I485" s="217">
        <v>348466.58</v>
      </c>
      <c r="J485" s="170">
        <v>350000</v>
      </c>
      <c r="K485" s="170">
        <f t="shared" si="1297"/>
        <v>924.27000000001863</v>
      </c>
      <c r="L485" s="168">
        <f t="shared" si="1298"/>
        <v>2.6594459822748447E-3</v>
      </c>
      <c r="M485" s="178">
        <f t="shared" ref="M485" si="1305">I485-J485</f>
        <v>-1533.4199999999837</v>
      </c>
      <c r="N485" s="180">
        <f t="shared" ref="N485" si="1306">M485/J485</f>
        <v>-4.3811999999999532E-3</v>
      </c>
      <c r="O485" s="179">
        <f t="shared" si="998"/>
        <v>-2.0890774151435805E-3</v>
      </c>
      <c r="P485" s="178" t="b">
        <f t="shared" ref="P485" si="1307">L485&gt;D485</f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ref="S485" si="1308">I485-R485</f>
        <v>81523.22000000003</v>
      </c>
      <c r="T485" s="170">
        <v>-44486</v>
      </c>
      <c r="U485" s="170">
        <f t="shared" ref="U485:U486" si="1309">M485-T485</f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1202"/>
        <v>0.63277334864767631</v>
      </c>
      <c r="Y485" s="171">
        <f t="shared" si="1203"/>
        <v>-6.8065447976934489E-3</v>
      </c>
      <c r="Z485" s="784">
        <f t="shared" si="1204"/>
        <v>-0.19376115852438106</v>
      </c>
    </row>
    <row r="486" spans="1:26" ht="20.100000000000001" customHeight="1" x14ac:dyDescent="0.25">
      <c r="A486" s="160">
        <f t="shared" si="929"/>
        <v>767</v>
      </c>
      <c r="B486" s="169">
        <v>43000</v>
      </c>
      <c r="C486" s="211">
        <v>2502.2199999999998</v>
      </c>
      <c r="D486" s="168">
        <f t="shared" si="1293"/>
        <v>6.4784451731580062E-4</v>
      </c>
      <c r="E486" s="205">
        <f t="shared" ref="E486" si="1310">(C486-$C$2)/$C$2</f>
        <v>0.19015049180951643</v>
      </c>
      <c r="F486" s="215">
        <v>6426.92</v>
      </c>
      <c r="G486" s="168">
        <f t="shared" si="1295"/>
        <v>6.586025481535732E-4</v>
      </c>
      <c r="H486" s="199">
        <f t="shared" si="1296"/>
        <v>0.26223461712198287</v>
      </c>
      <c r="I486" s="217">
        <v>349263.92</v>
      </c>
      <c r="J486" s="170">
        <v>350000</v>
      </c>
      <c r="K486" s="170">
        <f t="shared" si="1297"/>
        <v>797.3399999999674</v>
      </c>
      <c r="L486" s="168">
        <f t="shared" si="1298"/>
        <v>2.2881390806543554E-3</v>
      </c>
      <c r="M486" s="178">
        <f t="shared" ref="M486" si="1311">I486-J486</f>
        <v>-736.0800000000163</v>
      </c>
      <c r="N486" s="180">
        <f t="shared" ref="N486" si="1312">M486/J486</f>
        <v>-2.1030857142857609E-3</v>
      </c>
      <c r="O486" s="179">
        <f t="shared" si="998"/>
        <v>-1.0015020301732387E-3</v>
      </c>
      <c r="P486" s="178" t="b">
        <f t="shared" ref="P486" si="1313">L486&gt;D486</f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ref="S486" si="1314">I486-R486</f>
        <v>94552.919999999984</v>
      </c>
      <c r="T486" s="170">
        <v>-44478</v>
      </c>
      <c r="U486" s="170">
        <f t="shared" si="1309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1202"/>
        <v>0.63517694122035828</v>
      </c>
      <c r="Y486" s="171">
        <f t="shared" si="1203"/>
        <v>-3.2664015031647043E-3</v>
      </c>
      <c r="Z486" s="784">
        <f t="shared" si="1204"/>
        <v>-0.1922535775238022</v>
      </c>
    </row>
    <row r="487" spans="1:26" ht="20.100000000000001" customHeight="1" x14ac:dyDescent="0.25">
      <c r="A487" s="160">
        <f t="shared" si="929"/>
        <v>768</v>
      </c>
      <c r="B487" s="169">
        <v>43001</v>
      </c>
      <c r="C487" s="211">
        <v>2496.66</v>
      </c>
      <c r="D487" s="168">
        <f t="shared" si="1293"/>
        <v>-2.222026840165911E-3</v>
      </c>
      <c r="E487" s="205">
        <f t="shared" ref="E487" si="1315">(C487-$C$2)/$C$2</f>
        <v>0.18750594547287902</v>
      </c>
      <c r="F487" s="215">
        <v>6370.59</v>
      </c>
      <c r="G487" s="168">
        <f t="shared" si="1295"/>
        <v>-8.764695997460669E-3</v>
      </c>
      <c r="H487" s="199">
        <f t="shared" si="1296"/>
        <v>0.25117151442543756</v>
      </c>
      <c r="I487" s="217">
        <v>353035.89</v>
      </c>
      <c r="J487" s="170">
        <v>350000</v>
      </c>
      <c r="K487" s="170">
        <f t="shared" si="1297"/>
        <v>3771.9700000000303</v>
      </c>
      <c r="L487" s="168">
        <f t="shared" si="1298"/>
        <v>1.0799769984829897E-2</v>
      </c>
      <c r="M487" s="178">
        <f t="shared" ref="M487" si="1316">I487-J487</f>
        <v>3035.890000000014</v>
      </c>
      <c r="N487" s="180">
        <f t="shared" ref="N487" si="1317">M487/J487</f>
        <v>8.6739714285714691E-3</v>
      </c>
      <c r="O487" s="179">
        <f t="shared" si="998"/>
        <v>4.1252188337053764E-3</v>
      </c>
      <c r="P487" s="178" t="b">
        <f t="shared" ref="P487" si="1318">L487&gt;D487</f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ref="S487" si="1319">I487-R487</f>
        <v>94552.920000000013</v>
      </c>
      <c r="T487" s="170">
        <v>-44802</v>
      </c>
      <c r="U487" s="170">
        <f t="shared" ref="U487" si="1320">M487-T487</f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1202"/>
        <v>0.62611964870394943</v>
      </c>
      <c r="Y487" s="171">
        <f t="shared" si="1203"/>
        <v>1.3464270197226024E-2</v>
      </c>
      <c r="Z487" s="784">
        <f t="shared" si="1204"/>
        <v>-0.17883197404430756</v>
      </c>
    </row>
    <row r="488" spans="1:26" ht="20.100000000000001" customHeight="1" x14ac:dyDescent="0.25">
      <c r="A488" s="160">
        <f t="shared" si="929"/>
        <v>771</v>
      </c>
      <c r="B488" s="169">
        <v>43004</v>
      </c>
      <c r="C488" s="211">
        <v>2496.84</v>
      </c>
      <c r="D488" s="168">
        <f t="shared" si="1293"/>
        <v>7.2096320684550985E-5</v>
      </c>
      <c r="E488" s="205">
        <f t="shared" ref="E488" si="1321">(C488-$C$2)/$C$2</f>
        <v>0.18759156028233864</v>
      </c>
      <c r="F488" s="215">
        <v>6380.16</v>
      </c>
      <c r="G488" s="168">
        <f t="shared" si="1295"/>
        <v>1.5022156503557299E-3</v>
      </c>
      <c r="H488" s="199">
        <f t="shared" si="1296"/>
        <v>0.25305104385568672</v>
      </c>
      <c r="I488" s="217">
        <v>354979.17</v>
      </c>
      <c r="J488" s="170">
        <v>350000</v>
      </c>
      <c r="K488" s="170">
        <f t="shared" si="1297"/>
        <v>1943.2799999999697</v>
      </c>
      <c r="L488" s="168">
        <f t="shared" si="1298"/>
        <v>5.5044828445061766E-3</v>
      </c>
      <c r="M488" s="178">
        <f t="shared" ref="M488" si="1322">I488-J488</f>
        <v>4979.1699999999837</v>
      </c>
      <c r="N488" s="180">
        <f t="shared" ref="N488" si="1323">M488/J488</f>
        <v>1.4226199999999953E-2</v>
      </c>
      <c r="O488" s="179">
        <f t="shared" si="998"/>
        <v>6.7394546692606779E-3</v>
      </c>
      <c r="P488" s="178" t="b">
        <f t="shared" ref="P488" si="1324">L488&gt;D488</f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ref="S488" si="1325">I488-R488</f>
        <v>98518.829999999987</v>
      </c>
      <c r="T488" s="170">
        <v>-44286</v>
      </c>
      <c r="U488" s="170">
        <f t="shared" ref="U488" si="1326">M488-T488</f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1202"/>
        <v>0.62461158910859371</v>
      </c>
      <c r="Y488" s="171">
        <f t="shared" si="1203"/>
        <v>2.2017968039975806E-2</v>
      </c>
      <c r="Z488" s="784">
        <f t="shared" si="1204"/>
        <v>-0.17336536028233868</v>
      </c>
    </row>
    <row r="489" spans="1:26" ht="20.100000000000001" customHeight="1" x14ac:dyDescent="0.25">
      <c r="A489" s="160">
        <f t="shared" si="929"/>
        <v>772</v>
      </c>
      <c r="B489" s="169">
        <v>43005</v>
      </c>
      <c r="C489" s="211">
        <v>2507.2399999999998</v>
      </c>
      <c r="D489" s="168">
        <f t="shared" si="1293"/>
        <v>4.1652648948269158E-3</v>
      </c>
      <c r="E489" s="205">
        <f t="shared" ref="E489" si="1327">(C489-$C$2)/$C$2</f>
        <v>0.19253819371777539</v>
      </c>
      <c r="F489" s="215">
        <v>6453.26</v>
      </c>
      <c r="G489" s="168">
        <f t="shared" si="1295"/>
        <v>1.1457392918045999E-2</v>
      </c>
      <c r="H489" s="199">
        <f t="shared" si="1296"/>
        <v>0.26740774201150902</v>
      </c>
      <c r="I489" s="217">
        <v>358361.96</v>
      </c>
      <c r="J489" s="170">
        <v>350000</v>
      </c>
      <c r="K489" s="170">
        <f t="shared" si="1297"/>
        <v>3382.7900000000373</v>
      </c>
      <c r="L489" s="168">
        <f t="shared" si="1298"/>
        <v>9.5295450716165603E-3</v>
      </c>
      <c r="M489" s="178">
        <f t="shared" ref="M489" si="1328">I489-J489</f>
        <v>8361.960000000021</v>
      </c>
      <c r="N489" s="180">
        <f t="shared" ref="N489" si="1329">M489/J489</f>
        <v>2.3891314285714345E-2</v>
      </c>
      <c r="O489" s="179">
        <f t="shared" si="998"/>
        <v>1.1303500703182855E-2</v>
      </c>
      <c r="P489" s="178" t="b">
        <f t="shared" ref="P489" si="1330">L489&gt;D489</f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ref="S489" si="1331">I489-R489</f>
        <v>114852.25000000003</v>
      </c>
      <c r="T489" s="170">
        <v>-44153</v>
      </c>
      <c r="U489" s="170">
        <f t="shared" ref="U489" si="1332">M489-T489</f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1202"/>
        <v>0.64079465177745243</v>
      </c>
      <c r="Y489" s="171">
        <f t="shared" si="1203"/>
        <v>3.6958335875091897E-2</v>
      </c>
      <c r="Z489" s="784">
        <f t="shared" si="1204"/>
        <v>-0.16864687943206105</v>
      </c>
    </row>
    <row r="490" spans="1:26" ht="20.100000000000001" customHeight="1" x14ac:dyDescent="0.25">
      <c r="A490" s="160">
        <f t="shared" si="929"/>
        <v>773</v>
      </c>
      <c r="B490" s="169">
        <v>43006</v>
      </c>
      <c r="C490" s="211">
        <v>2510.06</v>
      </c>
      <c r="D490" s="168">
        <f t="shared" si="1293"/>
        <v>1.1247427450105151E-3</v>
      </c>
      <c r="E490" s="205">
        <f t="shared" ref="E490" si="1333">(C490-$C$2)/$C$2</f>
        <v>0.19387949239930741</v>
      </c>
      <c r="F490" s="215">
        <v>6453.45</v>
      </c>
      <c r="G490" s="168">
        <f t="shared" si="1295"/>
        <v>2.9442483333942816E-5</v>
      </c>
      <c r="H490" s="199">
        <f t="shared" ref="H490" si="1334">(F490-F$2)/F$2</f>
        <v>0.2674450576428305</v>
      </c>
      <c r="I490" s="217">
        <v>356533.28</v>
      </c>
      <c r="J490" s="170">
        <v>350000</v>
      </c>
      <c r="K490" s="170">
        <f t="shared" ref="K490" si="1335">I490-I489-J490+J489</f>
        <v>-1828.679999999993</v>
      </c>
      <c r="L490" s="168">
        <f t="shared" ref="L490" si="1336">K490/I489</f>
        <v>-5.1028853620512429E-3</v>
      </c>
      <c r="M490" s="178">
        <f t="shared" ref="M490" si="1337">I490-J490</f>
        <v>6533.2800000000279</v>
      </c>
      <c r="N490" s="180">
        <f t="shared" ref="N490" si="1338">M490/J490</f>
        <v>1.8666514285714364E-2</v>
      </c>
      <c r="O490" s="179">
        <f t="shared" si="998"/>
        <v>8.8201091110700798E-3</v>
      </c>
      <c r="P490" s="178" t="b">
        <f t="shared" ref="P490" si="1339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" si="1340">I490-R490</f>
        <v>110835.00000000003</v>
      </c>
      <c r="T490" s="170">
        <v>-44103</v>
      </c>
      <c r="U490" s="170">
        <f t="shared" ref="U490" si="1341">M490-T490</f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1202"/>
        <v>0.64508226736911156</v>
      </c>
      <c r="Y490" s="171">
        <f t="shared" si="1203"/>
        <v>2.8865774978625563E-2</v>
      </c>
      <c r="Z490" s="784">
        <f t="shared" si="1204"/>
        <v>-0.17521297811359304</v>
      </c>
    </row>
    <row r="491" spans="1:26" ht="20.100000000000001" customHeight="1" x14ac:dyDescent="0.25">
      <c r="A491" s="160">
        <f t="shared" si="929"/>
        <v>774</v>
      </c>
      <c r="B491" s="169">
        <v>43007</v>
      </c>
      <c r="C491" s="211">
        <v>2519.36</v>
      </c>
      <c r="D491" s="168">
        <f t="shared" ref="D491" si="1342">(C491-C490)/C490</f>
        <v>3.7050907149630613E-3</v>
      </c>
      <c r="E491" s="205">
        <f t="shared" ref="E491" si="1343">(C491-$C$2)/$C$2</f>
        <v>0.19830292422138091</v>
      </c>
      <c r="F491" s="215">
        <v>6495.95</v>
      </c>
      <c r="G491" s="168">
        <f t="shared" ref="G491" si="1344">(F491-F490)/F490</f>
        <v>6.5856247433543303E-3</v>
      </c>
      <c r="H491" s="199">
        <f t="shared" ref="H491" si="1345">(F491-F$2)/F$2</f>
        <v>0.27579197517528525</v>
      </c>
      <c r="I491" s="462">
        <v>356859.34</v>
      </c>
      <c r="J491" s="170">
        <v>350000</v>
      </c>
      <c r="K491" s="170">
        <f t="shared" ref="K491" si="1346">I491-I490-J491+J490</f>
        <v>326.05999999999767</v>
      </c>
      <c r="L491" s="168">
        <f t="shared" ref="L491" si="1347">K491/I490</f>
        <v>9.1452893261464302E-4</v>
      </c>
      <c r="M491" s="462">
        <f t="shared" ref="M491" si="1348">I491-J491</f>
        <v>6859.3400000000256</v>
      </c>
      <c r="N491" s="180">
        <f t="shared" ref="N491" si="1349">M491/J491</f>
        <v>1.9598114285714358E-2</v>
      </c>
      <c r="O491" s="179">
        <f t="shared" si="998"/>
        <v>9.2483349390919505E-3</v>
      </c>
      <c r="P491" s="178" t="b">
        <f t="shared" ref="P491" si="1350">L491&gt;D491</f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ref="S491" si="1351">I491-R491</f>
        <v>119104.82000000004</v>
      </c>
      <c r="T491" s="170">
        <v>-44681</v>
      </c>
      <c r="U491" s="170">
        <f t="shared" ref="U491" si="1352">M491-T491</f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1202"/>
        <v>0.65953173277113486</v>
      </c>
      <c r="Y491" s="171">
        <f t="shared" si="1203"/>
        <v>3.0298276636710187E-2</v>
      </c>
      <c r="Z491" s="784">
        <f t="shared" si="1204"/>
        <v>-0.17870480993566654</v>
      </c>
    </row>
    <row r="492" spans="1:26" ht="20.100000000000001" customHeight="1" x14ac:dyDescent="0.25">
      <c r="A492" s="160">
        <f t="shared" si="929"/>
        <v>777</v>
      </c>
      <c r="B492" s="169">
        <v>43010</v>
      </c>
      <c r="C492" s="211">
        <v>2529.12</v>
      </c>
      <c r="D492" s="168">
        <f t="shared" ref="D492" si="1353">(C492-C491)/C491</f>
        <v>3.8739997459671357E-3</v>
      </c>
      <c r="E492" s="205">
        <f t="shared" ref="E492" si="1354">(C492-$C$2)/$C$2</f>
        <v>0.2029451494454062</v>
      </c>
      <c r="F492" s="215">
        <v>6516.71</v>
      </c>
      <c r="G492" s="168">
        <f t="shared" ref="G492" si="1355">(F492-F491)/F491</f>
        <v>3.1958374063840115E-3</v>
      </c>
      <c r="H492" s="199">
        <f t="shared" ref="H492" si="1356">(F492-F$2)/F$2</f>
        <v>0.27986919889231499</v>
      </c>
      <c r="I492" s="217">
        <v>357811.27</v>
      </c>
      <c r="J492" s="170">
        <v>350000</v>
      </c>
      <c r="K492" s="170">
        <f t="shared" ref="K492" si="1357">I492-I491-J492+J491</f>
        <v>951.92999999999302</v>
      </c>
      <c r="L492" s="168">
        <f t="shared" ref="L492" si="1358">K492/I491</f>
        <v>2.6675216066924098E-3</v>
      </c>
      <c r="M492" s="178">
        <f t="shared" ref="M492" si="1359">I492-J492</f>
        <v>7811.2700000000186</v>
      </c>
      <c r="N492" s="180">
        <f t="shared" ref="N492" si="1360">M492/J492</f>
        <v>2.2317914285714339E-2</v>
      </c>
      <c r="O492" s="179">
        <f t="shared" si="998"/>
        <v>1.0491143105350272E-2</v>
      </c>
      <c r="P492" s="178" t="b">
        <f t="shared" ref="P492" si="1361">L492&gt;D492</f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ref="S492" si="1362">I492-R492</f>
        <v>124845.59000000003</v>
      </c>
      <c r="T492" s="170">
        <v>-44640</v>
      </c>
      <c r="U492" s="170">
        <f t="shared" ref="U492" si="1363">M492-T492</f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1202"/>
        <v>0.67295034131500397</v>
      </c>
      <c r="Y492" s="171">
        <f t="shared" si="1203"/>
        <v>3.4404522754362801E-2</v>
      </c>
      <c r="Z492" s="784">
        <f t="shared" si="1204"/>
        <v>-0.18062723515969187</v>
      </c>
    </row>
    <row r="493" spans="1:26" ht="20.100000000000001" customHeight="1" x14ac:dyDescent="0.25">
      <c r="A493" s="160">
        <f t="shared" si="929"/>
        <v>778</v>
      </c>
      <c r="B493" s="169">
        <v>43011</v>
      </c>
      <c r="C493" s="211">
        <v>2534.58</v>
      </c>
      <c r="D493" s="168">
        <f t="shared" ref="D493" si="1364">(C493-C492)/C492</f>
        <v>2.1588536724236242E-3</v>
      </c>
      <c r="E493" s="205">
        <f t="shared" ref="E493" si="1365">(C493-$C$2)/$C$2</f>
        <v>0.20554213199901061</v>
      </c>
      <c r="F493" s="215">
        <v>6531.71</v>
      </c>
      <c r="G493" s="168">
        <f t="shared" ref="G493" si="1366">(F493-F492)/F492</f>
        <v>2.3017749754093708E-3</v>
      </c>
      <c r="H493" s="199">
        <f t="shared" ref="H493" si="1367">(F493-F$2)/F$2</f>
        <v>0.28281516978612259</v>
      </c>
      <c r="I493" s="217">
        <v>360621.39</v>
      </c>
      <c r="J493" s="170">
        <v>350000</v>
      </c>
      <c r="K493" s="170">
        <f t="shared" ref="K493" si="1368">I493-I492-J493+J492</f>
        <v>2810.1199999999953</v>
      </c>
      <c r="L493" s="168">
        <f t="shared" ref="L493" si="1369">K493/I492</f>
        <v>7.8536374776568534E-3</v>
      </c>
      <c r="M493" s="178">
        <f t="shared" ref="M493" si="1370">I493-J493</f>
        <v>10621.390000000014</v>
      </c>
      <c r="N493" s="180">
        <f t="shared" ref="N493" si="1371">M493/J493</f>
        <v>3.0346828571428612E-2</v>
      </c>
      <c r="O493" s="179">
        <f t="shared" si="998"/>
        <v>1.4247016883951542E-2</v>
      </c>
      <c r="P493" s="178" t="b">
        <f t="shared" ref="P493" si="1372">L493&gt;D493</f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ref="S493" si="1373">I493-R493</f>
        <v>129038.99000000002</v>
      </c>
      <c r="T493" s="170">
        <v>-43206</v>
      </c>
      <c r="U493" s="170">
        <f t="shared" ref="U493" si="1374">M493-T493</f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1202"/>
        <v>0.68135487804801953</v>
      </c>
      <c r="Y493" s="171">
        <f t="shared" si="1203"/>
        <v>4.6762063480922801E-2</v>
      </c>
      <c r="Z493" s="784">
        <f t="shared" si="1204"/>
        <v>-0.17519530342758199</v>
      </c>
    </row>
    <row r="494" spans="1:26" ht="20.100000000000001" customHeight="1" x14ac:dyDescent="0.25">
      <c r="A494" s="160">
        <f t="shared" si="929"/>
        <v>779</v>
      </c>
      <c r="B494" s="169">
        <v>43012</v>
      </c>
      <c r="C494" s="211">
        <v>2537.7399999999998</v>
      </c>
      <c r="D494" s="168">
        <f t="shared" ref="D494" si="1375">(C494-C493)/C493</f>
        <v>1.2467548864111035E-3</v>
      </c>
      <c r="E494" s="205">
        <f t="shared" ref="E494" si="1376">(C494-$C$2)/$C$2</f>
        <v>0.20704514754285483</v>
      </c>
      <c r="F494" s="215">
        <v>6534.62</v>
      </c>
      <c r="G494" s="168">
        <f t="shared" ref="G494" si="1377">(F494-F493)/F493</f>
        <v>4.4551886106392573E-4</v>
      </c>
      <c r="H494" s="199">
        <f t="shared" ref="H494" si="1378">(F494-F$2)/F$2</f>
        <v>0.28338668813952123</v>
      </c>
      <c r="I494" s="217">
        <v>360384.52</v>
      </c>
      <c r="J494" s="170">
        <v>350000</v>
      </c>
      <c r="K494" s="170">
        <f t="shared" ref="K494" si="1379">I494-I493-J494+J493</f>
        <v>-236.86999999999534</v>
      </c>
      <c r="L494" s="168">
        <f t="shared" ref="L494" si="1380">K494/I493</f>
        <v>-6.5683846429629518E-4</v>
      </c>
      <c r="M494" s="178">
        <f t="shared" ref="M494" si="1381">I494-J494</f>
        <v>10384.520000000019</v>
      </c>
      <c r="N494" s="180">
        <f t="shared" ref="N494" si="1382">M494/J494</f>
        <v>2.9670057142857195E-2</v>
      </c>
      <c r="O494" s="179">
        <f t="shared" si="998"/>
        <v>1.3911409976159935E-2</v>
      </c>
      <c r="P494" s="178" t="b">
        <f t="shared" ref="P494" si="1383">L494&gt;D494</f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ref="S494" si="1384">I494-R494</f>
        <v>131645.39000000001</v>
      </c>
      <c r="T494" s="170">
        <v>-43349</v>
      </c>
      <c r="U494" s="170">
        <f t="shared" ref="U494" si="1385">M494-T494</f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1202"/>
        <v>0.68614929331390384</v>
      </c>
      <c r="Y494" s="171">
        <f t="shared" si="1203"/>
        <v>4.5706944418538162E-2</v>
      </c>
      <c r="Z494" s="784">
        <f t="shared" si="1204"/>
        <v>-0.17737509039999763</v>
      </c>
    </row>
    <row r="495" spans="1:26" ht="20.100000000000001" customHeight="1" x14ac:dyDescent="0.25">
      <c r="A495" s="160">
        <f t="shared" si="929"/>
        <v>780</v>
      </c>
      <c r="B495" s="169">
        <v>43013</v>
      </c>
      <c r="C495" s="211">
        <v>2552.0700000000002</v>
      </c>
      <c r="D495" s="168">
        <f t="shared" ref="D495" si="1386">(C495-C494)/C494</f>
        <v>5.6467565629262188E-3</v>
      </c>
      <c r="E495" s="205">
        <f t="shared" ref="E495" si="1387">(C495-$C$2)/$C$2</f>
        <v>0.2138610376514907</v>
      </c>
      <c r="F495" s="215">
        <v>6585.35</v>
      </c>
      <c r="G495" s="168">
        <f t="shared" ref="G495" si="1388">(F495-F494)/F494</f>
        <v>7.7632670300645601E-3</v>
      </c>
      <c r="H495" s="199">
        <f t="shared" ref="H495" si="1389">(F495-F$2)/F$2</f>
        <v>0.29334996170237848</v>
      </c>
      <c r="I495" s="217">
        <v>360856.84</v>
      </c>
      <c r="J495" s="170">
        <v>350000</v>
      </c>
      <c r="K495" s="170">
        <f t="shared" ref="K495" si="1390">I495-I494-J495+J494</f>
        <v>472.32000000000698</v>
      </c>
      <c r="L495" s="168">
        <f t="shared" ref="L495" si="1391">K495/I494</f>
        <v>1.3106001334352733E-3</v>
      </c>
      <c r="M495" s="178">
        <f t="shared" ref="M495" si="1392">I495-J495</f>
        <v>10856.840000000026</v>
      </c>
      <c r="N495" s="180">
        <f t="shared" ref="N495" si="1393">M495/J495</f>
        <v>3.101954285714293E-2</v>
      </c>
      <c r="O495" s="179">
        <f t="shared" si="998"/>
        <v>1.4525497472527507E-2</v>
      </c>
      <c r="P495" s="178" t="b">
        <f t="shared" ref="P495" si="1394">L495&gt;D495</f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ref="S495" si="1395">I495-R495</f>
        <v>130065.39000000001</v>
      </c>
      <c r="T495" s="170">
        <v>-43035</v>
      </c>
      <c r="U495" s="170">
        <f t="shared" ref="U495" si="1396">M495-T495</f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1202"/>
        <v>0.70830168305624586</v>
      </c>
      <c r="Y495" s="171">
        <f t="shared" si="1203"/>
        <v>4.7773042948679324E-2</v>
      </c>
      <c r="Z495" s="784">
        <f t="shared" si="1204"/>
        <v>-0.18284149479434778</v>
      </c>
    </row>
    <row r="496" spans="1:26" ht="20.100000000000001" customHeight="1" x14ac:dyDescent="0.25">
      <c r="A496" s="160">
        <f t="shared" si="929"/>
        <v>781</v>
      </c>
      <c r="B496" s="169">
        <v>43014</v>
      </c>
      <c r="C496" s="211">
        <v>2549.33</v>
      </c>
      <c r="D496" s="168">
        <f t="shared" ref="D496" si="1397">(C496-C495)/C495</f>
        <v>-1.0736382622734627E-3</v>
      </c>
      <c r="E496" s="205">
        <f t="shared" ref="E496" si="1398">(C496-$C$2)/$C$2</f>
        <v>0.21255778999638508</v>
      </c>
      <c r="F496" s="215">
        <v>6590.18</v>
      </c>
      <c r="G496" s="168">
        <f t="shared" ref="G496" si="1399">(F496-F495)/F495</f>
        <v>7.334462101482726E-4</v>
      </c>
      <c r="H496" s="199">
        <f t="shared" ref="H496" si="1400">(F496-F$2)/F$2</f>
        <v>0.29429856433018453</v>
      </c>
      <c r="I496" s="217">
        <v>357118.36</v>
      </c>
      <c r="J496" s="170">
        <v>350000</v>
      </c>
      <c r="K496" s="170">
        <f t="shared" ref="K496" si="1401">I496-I495-J496+J495</f>
        <v>-3738.4800000000396</v>
      </c>
      <c r="L496" s="168">
        <f t="shared" ref="L496" si="1402">K496/I495</f>
        <v>-1.036000869486093E-2</v>
      </c>
      <c r="M496" s="178">
        <f t="shared" ref="M496" si="1403">I496-J496</f>
        <v>7118.359999999986</v>
      </c>
      <c r="N496" s="180">
        <f t="shared" ref="N496" si="1404">M496/J496</f>
        <v>2.0338171428571389E-2</v>
      </c>
      <c r="O496" s="179">
        <f t="shared" si="998"/>
        <v>9.5115456008779756E-3</v>
      </c>
      <c r="P496" s="178" t="b">
        <f t="shared" ref="P496" si="1405">L496&gt;D496</f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ref="S496" si="1406">I496-R496</f>
        <v>116657.98999999999</v>
      </c>
      <c r="T496" s="170">
        <v>-43165</v>
      </c>
      <c r="U496" s="170">
        <f t="shared" ref="U496" si="1407">M496-T496</f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1202"/>
        <v>0.70377771116347598</v>
      </c>
      <c r="Y496" s="171">
        <f t="shared" si="1203"/>
        <v>3.1304328748377408E-2</v>
      </c>
      <c r="Z496" s="784">
        <f t="shared" si="1204"/>
        <v>-0.19221961856781369</v>
      </c>
    </row>
    <row r="497" spans="1:26" ht="20.100000000000001" customHeight="1" x14ac:dyDescent="0.25">
      <c r="A497" s="160">
        <f t="shared" si="929"/>
        <v>784</v>
      </c>
      <c r="B497" s="169">
        <v>43017</v>
      </c>
      <c r="C497" s="211">
        <v>2544.73</v>
      </c>
      <c r="D497" s="168">
        <f t="shared" ref="D497" si="1408">(C497-C496)/C496</f>
        <v>-1.8043956647432499E-3</v>
      </c>
      <c r="E497" s="205">
        <f t="shared" ref="E497" si="1409">(C497-$C$2)/$C$2</f>
        <v>0.21036985597686494</v>
      </c>
      <c r="F497" s="215">
        <v>6579.73</v>
      </c>
      <c r="G497" s="168">
        <f t="shared" ref="G497" si="1410">(F497-F496)/F496</f>
        <v>-1.5856926517941433E-3</v>
      </c>
      <c r="H497" s="199">
        <f t="shared" ref="H497" si="1411">(F497-F$2)/F$2</f>
        <v>0.29224620460749845</v>
      </c>
      <c r="I497" s="217">
        <v>354927.69</v>
      </c>
      <c r="J497" s="170">
        <v>350000</v>
      </c>
      <c r="K497" s="170">
        <f t="shared" ref="K497" si="1412">I497-I496-J497+J496</f>
        <v>-2190.6699999999837</v>
      </c>
      <c r="L497" s="168">
        <f t="shared" ref="L497" si="1413">K497/I496</f>
        <v>-6.1342967636835695E-3</v>
      </c>
      <c r="M497" s="178">
        <f t="shared" ref="M497" si="1414">I497-J497</f>
        <v>4927.6900000000023</v>
      </c>
      <c r="N497" s="180">
        <f t="shared" ref="N497" si="1415">M497/J497</f>
        <v>1.4079114285714293E-2</v>
      </c>
      <c r="O497" s="179">
        <f t="shared" si="998"/>
        <v>6.5591792000728897E-3</v>
      </c>
      <c r="P497" s="178" t="b">
        <f t="shared" ref="P497" si="1416">L497&gt;D497</f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ref="S497" si="1417">I497-R497</f>
        <v>103482.98999999999</v>
      </c>
      <c r="T497" s="170">
        <v>-43757</v>
      </c>
      <c r="U497" s="170">
        <f t="shared" ref="U497" si="1418">M497-T497</f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1202"/>
        <v>0.69452721611110979</v>
      </c>
      <c r="Y497" s="171">
        <f t="shared" si="1203"/>
        <v>2.1606857405861626E-2</v>
      </c>
      <c r="Z497" s="784">
        <f t="shared" si="1204"/>
        <v>-0.19629074169115066</v>
      </c>
    </row>
    <row r="498" spans="1:26" ht="20.100000000000001" customHeight="1" x14ac:dyDescent="0.25">
      <c r="A498" s="160">
        <f t="shared" si="929"/>
        <v>785</v>
      </c>
      <c r="B498" s="169">
        <v>43018</v>
      </c>
      <c r="C498" s="211">
        <v>2550.64</v>
      </c>
      <c r="D498" s="168">
        <f t="shared" ref="D498" si="1419">(C498-C497)/C497</f>
        <v>2.3224467821732972E-3</v>
      </c>
      <c r="E498" s="205">
        <f t="shared" ref="E498" si="1420">(C498-$C$2)/$C$2</f>
        <v>0.21318087555411799</v>
      </c>
      <c r="F498" s="215">
        <v>6587.25</v>
      </c>
      <c r="G498" s="168">
        <f t="shared" ref="G498" si="1421">(F498-F497)/F497</f>
        <v>1.142904040135452E-3</v>
      </c>
      <c r="H498" s="199">
        <f t="shared" ref="H498" si="1422">(F498-F$2)/F$2</f>
        <v>0.29372311801559403</v>
      </c>
      <c r="I498" s="217">
        <v>356097.03</v>
      </c>
      <c r="J498" s="170">
        <v>350000</v>
      </c>
      <c r="K498" s="170">
        <f t="shared" ref="K498" si="1423">I498-I497-J498+J497</f>
        <v>1169.3400000000256</v>
      </c>
      <c r="L498" s="168">
        <f t="shared" ref="L498" si="1424">K498/I497</f>
        <v>3.2945865677598317E-3</v>
      </c>
      <c r="M498" s="178">
        <f t="shared" ref="M498" si="1425">I498-J498</f>
        <v>6097.0300000000279</v>
      </c>
      <c r="N498" s="180">
        <f t="shared" ref="N498" si="1426">M498/J498</f>
        <v>1.7420085714285796E-2</v>
      </c>
      <c r="O498" s="179">
        <f t="shared" si="998"/>
        <v>8.1053328753412576E-3</v>
      </c>
      <c r="P498" s="178" t="b">
        <f t="shared" ref="P498" si="1427">L498&gt;D498</f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ref="S498" si="1428">I498-R498</f>
        <v>107636.39000000001</v>
      </c>
      <c r="T498" s="170">
        <v>-43317</v>
      </c>
      <c r="U498" s="170">
        <f t="shared" ref="U498" si="1429">M498-T498</f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1202"/>
        <v>0.70358982183165186</v>
      </c>
      <c r="Y498" s="171">
        <f t="shared" si="1203"/>
        <v>2.6726490785900642E-2</v>
      </c>
      <c r="Z498" s="784">
        <f t="shared" si="1204"/>
        <v>-0.19576078983983219</v>
      </c>
    </row>
    <row r="499" spans="1:26" ht="20.100000000000001" customHeight="1" x14ac:dyDescent="0.25">
      <c r="A499" s="160">
        <f t="shared" si="929"/>
        <v>786</v>
      </c>
      <c r="B499" s="169">
        <v>43019</v>
      </c>
      <c r="C499" s="211">
        <v>2555.2399999999998</v>
      </c>
      <c r="D499" s="168">
        <f t="shared" ref="D499" si="1430">(C499-C498)/C498</f>
        <v>1.8034689332872963E-3</v>
      </c>
      <c r="E499" s="205">
        <f t="shared" ref="E499" si="1431">(C499-$C$2)/$C$2</f>
        <v>0.2153688095736381</v>
      </c>
      <c r="F499" s="215">
        <v>6603.54</v>
      </c>
      <c r="G499" s="168">
        <f t="shared" ref="G499" si="1432">(F499-F498)/F498</f>
        <v>2.4729591255835083E-3</v>
      </c>
      <c r="H499" s="199">
        <f t="shared" ref="H499" si="1433">(F499-F$2)/F$2</f>
        <v>0.29692244240626908</v>
      </c>
      <c r="I499" s="217">
        <v>356596.97</v>
      </c>
      <c r="J499" s="170">
        <v>350000</v>
      </c>
      <c r="K499" s="170">
        <f t="shared" ref="K499" si="1434">I499-I498-J499+J498</f>
        <v>499.93999999994412</v>
      </c>
      <c r="L499" s="168">
        <f t="shared" ref="L499" si="1435">K499/I498</f>
        <v>1.4039431893041738E-3</v>
      </c>
      <c r="M499" s="178">
        <f t="shared" ref="M499" si="1436">I499-J499</f>
        <v>6596.9699999999721</v>
      </c>
      <c r="N499" s="180">
        <f t="shared" ref="N499" si="1437">M499/J499</f>
        <v>1.8848485714285636E-2</v>
      </c>
      <c r="O499" s="179">
        <f t="shared" si="998"/>
        <v>8.7587905943292983E-3</v>
      </c>
      <c r="P499" s="178" t="b">
        <f t="shared" ref="P499" si="1438">L499&gt;D499</f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ref="S499" si="1439">I499-R499</f>
        <v>104417.38999999998</v>
      </c>
      <c r="T499" s="170">
        <v>-42865</v>
      </c>
      <c r="U499" s="170">
        <f t="shared" ref="U499" si="1440">M499-T499</f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1202"/>
        <v>0.71060617414438698</v>
      </c>
      <c r="Y499" s="171">
        <f t="shared" si="1203"/>
        <v>2.8910275896734991E-2</v>
      </c>
      <c r="Z499" s="784">
        <f t="shared" si="1204"/>
        <v>-0.19652032385935247</v>
      </c>
    </row>
    <row r="500" spans="1:26" ht="20.100000000000001" customHeight="1" x14ac:dyDescent="0.25">
      <c r="A500" s="160">
        <f t="shared" si="929"/>
        <v>787</v>
      </c>
      <c r="B500" s="169">
        <v>43020</v>
      </c>
      <c r="C500" s="211">
        <v>2550.9299999999998</v>
      </c>
      <c r="D500" s="168">
        <f t="shared" ref="D500" si="1441">(C500-C499)/C499</f>
        <v>-1.6867300136190518E-3</v>
      </c>
      <c r="E500" s="205">
        <f t="shared" ref="E500" si="1442">(C500-$C$2)/$C$2</f>
        <v>0.2133188105249138</v>
      </c>
      <c r="F500" s="215">
        <v>6591.51</v>
      </c>
      <c r="G500" s="168">
        <f t="shared" ref="G500" si="1443">(F500-F499)/F499</f>
        <v>-1.821750152191059E-3</v>
      </c>
      <c r="H500" s="199">
        <f t="shared" ref="H500" si="1444">(F500-F$2)/F$2</f>
        <v>0.29455977374943543</v>
      </c>
      <c r="I500" s="217">
        <v>355844.19</v>
      </c>
      <c r="J500" s="170">
        <v>350000</v>
      </c>
      <c r="K500" s="170">
        <f t="shared" ref="K500" si="1445">I500-I499-J500+J499</f>
        <v>-752.77999999996973</v>
      </c>
      <c r="L500" s="168">
        <f t="shared" ref="L500" si="1446">K500/I499</f>
        <v>-2.1110106459961502E-3</v>
      </c>
      <c r="M500" s="178">
        <f t="shared" ref="M500" si="1447">I500-J500</f>
        <v>5844.1900000000023</v>
      </c>
      <c r="N500" s="180">
        <f t="shared" ref="N500" si="1448">M500/J500</f>
        <v>1.6697685714285721E-2</v>
      </c>
      <c r="O500" s="179">
        <f t="shared" si="998"/>
        <v>7.7494659557088433E-3</v>
      </c>
      <c r="P500" s="178" t="b">
        <f t="shared" ref="P500" si="1449">L500&gt;D500</f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ref="S500" si="1450">I500-R500</f>
        <v>98151.390000000014</v>
      </c>
      <c r="T500" s="170">
        <v>-42451</v>
      </c>
      <c r="U500" s="170">
        <f t="shared" ref="U500" si="1451">M500-T500</f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1202"/>
        <v>0.70361579859070544</v>
      </c>
      <c r="Y500" s="171">
        <f t="shared" si="1203"/>
        <v>2.5604110894468866E-2</v>
      </c>
      <c r="Z500" s="784">
        <f t="shared" si="1204"/>
        <v>-0.19662112481062807</v>
      </c>
    </row>
    <row r="501" spans="1:26" ht="20.100000000000001" customHeight="1" x14ac:dyDescent="0.25">
      <c r="A501" s="160">
        <f t="shared" si="929"/>
        <v>788</v>
      </c>
      <c r="B501" s="169">
        <v>43021</v>
      </c>
      <c r="C501" s="211">
        <v>2553.17</v>
      </c>
      <c r="D501" s="168">
        <f t="shared" ref="D501" si="1452">(C501-C500)/C500</f>
        <v>8.7811112025819467E-4</v>
      </c>
      <c r="E501" s="205">
        <f t="shared" ref="E501" si="1453">(C501-$C$2)/$C$2</f>
        <v>0.21438423926485417</v>
      </c>
      <c r="F501" s="215">
        <v>6605.8</v>
      </c>
      <c r="G501" s="168">
        <f t="shared" ref="G501" si="1454">(F501-F500)/F500</f>
        <v>2.1679402746866746E-3</v>
      </c>
      <c r="H501" s="199">
        <f t="shared" ref="H501" si="1455">(F501-F$2)/F$2</f>
        <v>0.29736630202093611</v>
      </c>
      <c r="I501" s="217">
        <v>357661.23</v>
      </c>
      <c r="J501" s="170">
        <v>350000</v>
      </c>
      <c r="K501" s="170">
        <f t="shared" ref="K501" si="1456">I501-I500-J501+J500</f>
        <v>1817.039999999979</v>
      </c>
      <c r="L501" s="168">
        <f t="shared" ref="L501" si="1457">K501/I500</f>
        <v>5.1062798018424276E-3</v>
      </c>
      <c r="M501" s="178">
        <f t="shared" ref="M501" si="1458">I501-J501</f>
        <v>7661.2299999999814</v>
      </c>
      <c r="N501" s="180">
        <f t="shared" ref="N501" si="1459">M501/J501</f>
        <v>2.1889228571428519E-2</v>
      </c>
      <c r="O501" s="179">
        <f t="shared" si="998"/>
        <v>1.0145990781363284E-2</v>
      </c>
      <c r="P501" s="178" t="b">
        <f t="shared" ref="P501" si="1460">L501&gt;D501</f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ref="S501" si="1461">I501-R501</f>
        <v>91898.909999999974</v>
      </c>
      <c r="T501" s="170">
        <v>-41907</v>
      </c>
      <c r="U501" s="170">
        <f t="shared" ref="U501" si="1462">M501-T501</f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1202"/>
        <v>0.70694096466433043</v>
      </c>
      <c r="Y501" s="171">
        <f t="shared" si="1203"/>
        <v>3.3553835325881735E-2</v>
      </c>
      <c r="Z501" s="784">
        <f t="shared" si="1204"/>
        <v>-0.19249501069342564</v>
      </c>
    </row>
    <row r="502" spans="1:26" ht="20.100000000000001" customHeight="1" x14ac:dyDescent="0.25">
      <c r="A502" s="160">
        <f t="shared" si="929"/>
        <v>791</v>
      </c>
      <c r="B502" s="169">
        <v>43024</v>
      </c>
      <c r="C502" s="211">
        <v>2557.64</v>
      </c>
      <c r="D502" s="168">
        <f t="shared" ref="D502" si="1463">(C502-C501)/C501</f>
        <v>1.7507647356031129E-3</v>
      </c>
      <c r="E502" s="205">
        <f t="shared" ref="E502" si="1464">(C502-$C$2)/$C$2</f>
        <v>0.2165103403664313</v>
      </c>
      <c r="F502" s="215">
        <v>6624</v>
      </c>
      <c r="G502" s="168">
        <f t="shared" ref="G502" si="1465">(F502-F501)/F501</f>
        <v>2.7551545611432101E-3</v>
      </c>
      <c r="H502" s="199">
        <f t="shared" ref="H502" si="1466">(F502-F$2)/F$2</f>
        <v>0.30094074670542259</v>
      </c>
      <c r="I502" s="217">
        <v>356269.41</v>
      </c>
      <c r="J502" s="170">
        <v>350000</v>
      </c>
      <c r="K502" s="170">
        <f t="shared" ref="K502" si="1467">I502-I501-J502+J501</f>
        <v>-1391.820000000007</v>
      </c>
      <c r="L502" s="168">
        <f t="shared" ref="L502" si="1468">K502/I501</f>
        <v>-3.8914477814662972E-3</v>
      </c>
      <c r="M502" s="178">
        <f t="shared" ref="M502" si="1469">I502-J502</f>
        <v>6269.4099999999744</v>
      </c>
      <c r="N502" s="180">
        <f t="shared" ref="N502" si="1470">M502/J502</f>
        <v>1.7912599999999928E-2</v>
      </c>
      <c r="O502" s="179">
        <f t="shared" si="998"/>
        <v>8.271273261694025E-3</v>
      </c>
      <c r="P502" s="178" t="b">
        <f t="shared" ref="P502" si="1471">L502&gt;D502</f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ref="S502" si="1472">I502-R502</f>
        <v>91898.899999999965</v>
      </c>
      <c r="T502" s="170">
        <v>-43678</v>
      </c>
      <c r="U502" s="170">
        <f t="shared" ref="U502" si="1473">M502-T502</f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1202"/>
        <v>0.71194192153897151</v>
      </c>
      <c r="Y502" s="171">
        <f t="shared" si="1203"/>
        <v>2.7380010476751947E-2</v>
      </c>
      <c r="Z502" s="784">
        <f t="shared" si="1204"/>
        <v>-0.19859774036643138</v>
      </c>
    </row>
    <row r="503" spans="1:26" ht="20.100000000000001" customHeight="1" x14ac:dyDescent="0.25">
      <c r="A503" s="160">
        <f t="shared" si="929"/>
        <v>792</v>
      </c>
      <c r="B503" s="169">
        <v>43025</v>
      </c>
      <c r="C503" s="211">
        <v>2559.36</v>
      </c>
      <c r="D503" s="168">
        <f t="shared" ref="D503" si="1474">(C503-C502)/C502</f>
        <v>6.7249495628792747E-4</v>
      </c>
      <c r="E503" s="205">
        <f t="shared" ref="E503" si="1475">(C503-$C$2)/$C$2</f>
        <v>0.21732843743459981</v>
      </c>
      <c r="F503" s="215">
        <v>6623.65</v>
      </c>
      <c r="G503" s="168">
        <f t="shared" ref="G503" si="1476">(F503-F502)/F502</f>
        <v>-5.2838164251262654E-5</v>
      </c>
      <c r="H503" s="199">
        <f t="shared" ref="H503" si="1477">(F503-F$2)/F$2</f>
        <v>0.30087200738456704</v>
      </c>
      <c r="I503" s="217">
        <v>356984.93</v>
      </c>
      <c r="J503" s="170">
        <v>350000</v>
      </c>
      <c r="K503" s="170">
        <f t="shared" ref="K503" si="1478">I503-I502-J503+J502</f>
        <v>715.52000000001863</v>
      </c>
      <c r="L503" s="168">
        <f t="shared" ref="L503" si="1479">K503/I502</f>
        <v>2.008367768650187E-3</v>
      </c>
      <c r="M503" s="178">
        <f t="shared" ref="M503" si="1480">I503-J503</f>
        <v>6984.929999999993</v>
      </c>
      <c r="N503" s="180">
        <f t="shared" ref="N503" si="1481">M503/J503</f>
        <v>1.9956942857142838E-2</v>
      </c>
      <c r="O503" s="179">
        <f t="shared" si="998"/>
        <v>9.2036280032467433E-3</v>
      </c>
      <c r="P503" s="178" t="b">
        <f t="shared" ref="P503" si="1482">L503&gt;D503</f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ref="S503" si="1483">I503-R503</f>
        <v>91898.909999999974</v>
      </c>
      <c r="T503" s="170">
        <v>-43661</v>
      </c>
      <c r="U503" s="170">
        <f t="shared" ref="U503" si="1484">M503-T503</f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1202"/>
        <v>0.7144439925638304</v>
      </c>
      <c r="Y503" s="171">
        <f t="shared" si="1203"/>
        <v>3.049663231785767E-2</v>
      </c>
      <c r="Z503" s="784">
        <f t="shared" si="1204"/>
        <v>-0.19737149457745698</v>
      </c>
    </row>
    <row r="504" spans="1:26" ht="20.100000000000001" customHeight="1" x14ac:dyDescent="0.25">
      <c r="A504" s="160">
        <f t="shared" si="929"/>
        <v>793</v>
      </c>
      <c r="B504" s="169">
        <v>43026</v>
      </c>
      <c r="C504" s="211">
        <v>2561.2600000000002</v>
      </c>
      <c r="D504" s="168">
        <f t="shared" ref="D504" si="1485">(C504-C503)/C503</f>
        <v>7.4237309327335383E-4</v>
      </c>
      <c r="E504" s="205">
        <f t="shared" ref="E504" si="1486">(C504-$C$2)/$C$2</f>
        <v>0.21823214931222776</v>
      </c>
      <c r="F504" s="215">
        <v>6624.22</v>
      </c>
      <c r="G504" s="168">
        <f t="shared" ref="G504" si="1487">(F504-F503)/F503</f>
        <v>8.6055271640352141E-5</v>
      </c>
      <c r="H504" s="199">
        <f t="shared" ref="H504" si="1488">(F504-F$2)/F$2</f>
        <v>0.30098395427853181</v>
      </c>
      <c r="I504" s="217">
        <v>356309.25</v>
      </c>
      <c r="J504" s="170">
        <v>350000</v>
      </c>
      <c r="K504" s="170">
        <f t="shared" ref="K504" si="1489">I504-I503-J504+J503</f>
        <v>-675.67999999999302</v>
      </c>
      <c r="L504" s="168">
        <f t="shared" ref="L504" si="1490">K504/I503</f>
        <v>-1.8927409624826265E-3</v>
      </c>
      <c r="M504" s="178">
        <f t="shared" ref="M504" si="1491">I504-J504</f>
        <v>6309.25</v>
      </c>
      <c r="N504" s="180">
        <f t="shared" ref="N504" si="1492">M504/J504</f>
        <v>1.8026428571428572E-2</v>
      </c>
      <c r="O504" s="179">
        <f t="shared" si="998"/>
        <v>8.3028411547468924E-3</v>
      </c>
      <c r="P504" s="178" t="b">
        <f t="shared" ref="P504" si="1493">L504&gt;D504</f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ref="S504" si="1494">I504-R504</f>
        <v>91898.909999999974</v>
      </c>
      <c r="T504" s="170">
        <v>-43281</v>
      </c>
      <c r="U504" s="170">
        <f t="shared" ref="U504" si="1495">M504-T504</f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1202"/>
        <v>0.71722543064957556</v>
      </c>
      <c r="Y504" s="171">
        <f t="shared" si="1203"/>
        <v>2.7538935808248864E-2</v>
      </c>
      <c r="Z504" s="784">
        <f t="shared" si="1204"/>
        <v>-0.20020572074079918</v>
      </c>
    </row>
    <row r="505" spans="1:26" ht="20.100000000000001" customHeight="1" x14ac:dyDescent="0.25">
      <c r="A505" s="160">
        <f t="shared" si="929"/>
        <v>794</v>
      </c>
      <c r="B505" s="169">
        <v>43027</v>
      </c>
      <c r="C505" s="211">
        <v>2562.1</v>
      </c>
      <c r="D505" s="168">
        <f t="shared" ref="D505" si="1496">(C505-C504)/C504</f>
        <v>3.2796358042513869E-4</v>
      </c>
      <c r="E505" s="205">
        <f t="shared" ref="E505" si="1497">(C505-$C$2)/$C$2</f>
        <v>0.21863168508970521</v>
      </c>
      <c r="F505" s="215">
        <v>6605.06</v>
      </c>
      <c r="G505" s="168">
        <f t="shared" ref="G505" si="1498">(F505-F504)/F504</f>
        <v>-2.8924160127531775E-3</v>
      </c>
      <c r="H505" s="199">
        <f t="shared" ref="H505" si="1499">(F505-F$2)/F$2</f>
        <v>0.29722096745684168</v>
      </c>
      <c r="I505" s="217">
        <v>357443.95</v>
      </c>
      <c r="J505" s="170">
        <v>350000</v>
      </c>
      <c r="K505" s="170">
        <f t="shared" ref="K505" si="1500">I505-I504-J505+J504</f>
        <v>1134.7000000000116</v>
      </c>
      <c r="L505" s="168">
        <f t="shared" ref="L505" si="1501">K505/I504</f>
        <v>3.1845931588922031E-3</v>
      </c>
      <c r="M505" s="178">
        <f t="shared" ref="M505" si="1502">I505-J505</f>
        <v>7443.9500000000116</v>
      </c>
      <c r="N505" s="180">
        <f t="shared" ref="N505" si="1503">M505/J505</f>
        <v>2.1268428571428605E-2</v>
      </c>
      <c r="O505" s="179">
        <f t="shared" si="998"/>
        <v>9.783745007196849E-3</v>
      </c>
      <c r="P505" s="178" t="b">
        <f t="shared" ref="P505" si="1504">L505&gt;D505</f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ref="S505" si="1505">I505-R505</f>
        <v>93032.609999999986</v>
      </c>
      <c r="T505" s="170">
        <v>-42836</v>
      </c>
      <c r="U505" s="170">
        <f t="shared" ref="U505" si="1506">M505-T505</f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1202"/>
        <v>0.71834929918111556</v>
      </c>
      <c r="Y505" s="171">
        <f t="shared" si="1203"/>
        <v>3.2482479038257503E-2</v>
      </c>
      <c r="Z505" s="784">
        <f t="shared" si="1204"/>
        <v>-0.1973632565182766</v>
      </c>
    </row>
    <row r="506" spans="1:26" ht="20.100000000000001" customHeight="1" x14ac:dyDescent="0.25">
      <c r="A506" s="160">
        <f t="shared" si="929"/>
        <v>795</v>
      </c>
      <c r="B506" s="169">
        <v>43028</v>
      </c>
      <c r="C506" s="211">
        <v>2575.21</v>
      </c>
      <c r="D506" s="168">
        <f t="shared" ref="D506" si="1507">(C506-C505)/C505</f>
        <v>5.1168962960072319E-3</v>
      </c>
      <c r="E506" s="205">
        <f t="shared" ref="E506" si="1508">(C506-$C$2)/$C$2</f>
        <v>0.22486729704533778</v>
      </c>
      <c r="F506" s="215">
        <v>6629.05</v>
      </c>
      <c r="G506" s="168">
        <f t="shared" ref="G506" si="1509">(F506-F505)/F505</f>
        <v>3.6320639025231838E-3</v>
      </c>
      <c r="H506" s="199">
        <f t="shared" ref="H506" si="1510">(F506-F$2)/F$2</f>
        <v>0.30193255690633786</v>
      </c>
      <c r="I506" s="217">
        <v>360239.92</v>
      </c>
      <c r="J506" s="170">
        <v>350000</v>
      </c>
      <c r="K506" s="170">
        <f t="shared" ref="K506" si="1511">I506-I505-J506+J505</f>
        <v>2795.9699999999721</v>
      </c>
      <c r="L506" s="168">
        <f t="shared" ref="L506" si="1512">K506/I505</f>
        <v>7.822121482263085E-3</v>
      </c>
      <c r="M506" s="178">
        <f t="shared" ref="M506" si="1513">I506-J506</f>
        <v>10239.919999999984</v>
      </c>
      <c r="N506" s="180">
        <f t="shared" ref="N506" si="1514">M506/J506</f>
        <v>2.9256914285714239E-2</v>
      </c>
      <c r="O506" s="179">
        <f t="shared" si="998"/>
        <v>1.3441620053908334E-2</v>
      </c>
      <c r="P506" s="178" t="b">
        <f t="shared" ref="P506" si="1515">L506&gt;D506</f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ref="S506" si="1516">I506-R506</f>
        <v>105654.41999999998</v>
      </c>
      <c r="T506" s="170">
        <v>-42552</v>
      </c>
      <c r="U506" s="170">
        <f t="shared" ref="U506" si="1517">M506-T506</f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1202"/>
        <v>0.73843554623789598</v>
      </c>
      <c r="Y506" s="171">
        <f t="shared" si="1203"/>
        <v>4.466441273044363E-2</v>
      </c>
      <c r="Z506" s="784">
        <f t="shared" si="1204"/>
        <v>-0.19561038275962356</v>
      </c>
    </row>
    <row r="507" spans="1:26" ht="20.100000000000001" customHeight="1" x14ac:dyDescent="0.25">
      <c r="A507" s="160">
        <f t="shared" si="929"/>
        <v>798</v>
      </c>
      <c r="B507" s="169">
        <v>43031</v>
      </c>
      <c r="C507" s="211">
        <v>2564.98</v>
      </c>
      <c r="D507" s="168">
        <f t="shared" ref="D507" si="1518">(C507-C506)/C506</f>
        <v>-3.9724915637948041E-3</v>
      </c>
      <c r="E507" s="205">
        <f t="shared" ref="E507" si="1519">(C507-$C$2)/$C$2</f>
        <v>0.22000152204105702</v>
      </c>
      <c r="F507" s="215">
        <v>6586.82</v>
      </c>
      <c r="G507" s="168">
        <f t="shared" ref="G507" si="1520">(F507-F506)/F506</f>
        <v>-6.3704452372512609E-3</v>
      </c>
      <c r="H507" s="199">
        <f t="shared" ref="H507" si="1521">(F507-F$2)/F$2</f>
        <v>0.29363866684997153</v>
      </c>
      <c r="I507" s="217">
        <v>357804.68</v>
      </c>
      <c r="J507" s="170">
        <v>350000</v>
      </c>
      <c r="K507" s="170">
        <f t="shared" ref="K507" si="1522">I507-I506-J507+J506</f>
        <v>-2435.2399999999907</v>
      </c>
      <c r="L507" s="168">
        <f t="shared" ref="L507" si="1523">K507/I506</f>
        <v>-6.760050357550576E-3</v>
      </c>
      <c r="M507" s="178">
        <f t="shared" ref="M507" si="1524">I507-J507</f>
        <v>7804.679999999993</v>
      </c>
      <c r="N507" s="180">
        <f t="shared" ref="N507" si="1525">M507/J507</f>
        <v>2.2299085714285693E-2</v>
      </c>
      <c r="O507" s="179">
        <f t="shared" si="998"/>
        <v>1.0206442427497305E-2</v>
      </c>
      <c r="P507" s="178" t="b">
        <f t="shared" ref="P507" si="1526">L507&gt;D507</f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ref="S507" si="1527">I507-R507</f>
        <v>105654.41999999998</v>
      </c>
      <c r="T507" s="170">
        <v>-41908</v>
      </c>
      <c r="U507" s="170">
        <f t="shared" ref="U507" si="1528">M507-T507</f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1202"/>
        <v>0.72027685817005982</v>
      </c>
      <c r="Y507" s="171">
        <f t="shared" si="1203"/>
        <v>3.3943301829971913E-2</v>
      </c>
      <c r="Z507" s="784">
        <f t="shared" si="1204"/>
        <v>-0.19770243632677134</v>
      </c>
    </row>
    <row r="508" spans="1:26" ht="20.100000000000001" customHeight="1" x14ac:dyDescent="0.25">
      <c r="A508" s="160">
        <f t="shared" si="929"/>
        <v>799</v>
      </c>
      <c r="B508" s="169">
        <v>43032</v>
      </c>
      <c r="C508" s="211">
        <v>2569.13</v>
      </c>
      <c r="D508" s="168">
        <f t="shared" ref="D508" si="1529">(C508-C507)/C507</f>
        <v>1.6179463387629108E-3</v>
      </c>
      <c r="E508" s="205">
        <f t="shared" ref="E508" si="1530">(C508-$C$2)/$C$2</f>
        <v>0.22197541903692855</v>
      </c>
      <c r="F508" s="215">
        <v>6598.63</v>
      </c>
      <c r="G508" s="168">
        <f t="shared" ref="G508" si="1531">(F508-F507)/F507</f>
        <v>1.792974455048172E-3</v>
      </c>
      <c r="H508" s="199">
        <f t="shared" ref="H508" si="1532">(F508-F$2)/F$2</f>
        <v>0.29595812793369608</v>
      </c>
      <c r="I508" s="217">
        <v>308838.62</v>
      </c>
      <c r="J508" s="170">
        <v>300000</v>
      </c>
      <c r="K508" s="170">
        <f t="shared" ref="K508" si="1533">I508-I507-J508+J507</f>
        <v>1033.9400000000023</v>
      </c>
      <c r="L508" s="168">
        <f t="shared" ref="L508" si="1534">K508/I507</f>
        <v>2.8896771277558539E-3</v>
      </c>
      <c r="M508" s="178">
        <f t="shared" ref="M508" si="1535">I508-J508</f>
        <v>8838.6199999999953</v>
      </c>
      <c r="N508" s="180">
        <f t="shared" ref="N508" si="1536">M508/J508</f>
        <v>2.9462066666666651E-2</v>
      </c>
      <c r="O508" s="179">
        <f t="shared" si="998"/>
        <v>1.3468109949937416E-2</v>
      </c>
      <c r="P508" s="178" t="b">
        <f t="shared" ref="P508" si="1537">L508&gt;D508</f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ref="S508" si="1538">I508-R508</f>
        <v>56687.359999999986</v>
      </c>
      <c r="T508" s="170">
        <v>-41721</v>
      </c>
      <c r="U508" s="170">
        <f t="shared" ref="U508" si="1539">M508-T508</f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1202"/>
        <v>0.72653644088459868</v>
      </c>
      <c r="Y508" s="171">
        <f t="shared" si="1203"/>
        <v>4.4834187773212103E-2</v>
      </c>
      <c r="Z508" s="784">
        <f t="shared" si="1204"/>
        <v>-0.1925133523702619</v>
      </c>
    </row>
    <row r="509" spans="1:26" ht="20.100000000000001" customHeight="1" x14ac:dyDescent="0.25">
      <c r="A509" s="160">
        <f t="shared" si="929"/>
        <v>800</v>
      </c>
      <c r="B509" s="169">
        <v>43033</v>
      </c>
      <c r="C509" s="211">
        <v>2557.15</v>
      </c>
      <c r="D509" s="168">
        <f t="shared" ref="D509" si="1540">(C509-C508)/C508</f>
        <v>-4.6630571438580444E-3</v>
      </c>
      <c r="E509" s="205">
        <f t="shared" ref="E509" si="1541">(C509-$C$2)/$C$2</f>
        <v>0.21627727782956946</v>
      </c>
      <c r="F509" s="215">
        <v>6563.89</v>
      </c>
      <c r="G509" s="168">
        <f t="shared" ref="G509" si="1542">(F509-F508)/F508</f>
        <v>-5.2647291937871618E-3</v>
      </c>
      <c r="H509" s="199">
        <f t="shared" ref="H509" si="1543">(F509-F$2)/F$2</f>
        <v>0.28913525934363782</v>
      </c>
      <c r="I509" s="217">
        <v>306704.96000000002</v>
      </c>
      <c r="J509" s="170">
        <v>300000</v>
      </c>
      <c r="K509" s="170">
        <f t="shared" ref="K509" si="1544">I509-I508-J509+J508</f>
        <v>-2133.6599999999744</v>
      </c>
      <c r="L509" s="168">
        <f t="shared" ref="L509" si="1545">K509/I508</f>
        <v>-6.9086566958496782E-3</v>
      </c>
      <c r="M509" s="178">
        <f t="shared" ref="M509" si="1546">I509-J509</f>
        <v>6704.960000000021</v>
      </c>
      <c r="N509" s="180">
        <f t="shared" ref="N509" si="1547">M509/J509</f>
        <v>2.2349866666666735E-2</v>
      </c>
      <c r="O509" s="179">
        <f t="shared" si="998"/>
        <v>1.0204111000000031E-2</v>
      </c>
      <c r="P509" s="178" t="b">
        <f t="shared" ref="P509" si="1548">L509&gt;D509</f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ref="S509" si="1549">I509-R509</f>
        <v>54552.700000000012</v>
      </c>
      <c r="T509" s="170">
        <v>-41720</v>
      </c>
      <c r="U509" s="170">
        <f t="shared" ref="U509" si="1550">M509-T509</f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1202"/>
        <v>0.70746627582822974</v>
      </c>
      <c r="Y509" s="171">
        <f t="shared" si="1203"/>
        <v>3.399722007092524E-2</v>
      </c>
      <c r="Z509" s="784">
        <f t="shared" si="1204"/>
        <v>-0.19392741116290271</v>
      </c>
    </row>
    <row r="510" spans="1:26" ht="20.100000000000001" customHeight="1" x14ac:dyDescent="0.25">
      <c r="A510" s="160">
        <f t="shared" si="929"/>
        <v>801</v>
      </c>
      <c r="B510" s="169">
        <v>43034</v>
      </c>
      <c r="C510" s="211">
        <v>2560.4</v>
      </c>
      <c r="D510" s="168">
        <f t="shared" ref="D510" si="1551">(C510-C509)/C509</f>
        <v>1.270946170541423E-3</v>
      </c>
      <c r="E510" s="205">
        <f t="shared" ref="E510" si="1552">(C510-$C$2)/$C$2</f>
        <v>0.21782310077814351</v>
      </c>
      <c r="F510" s="215">
        <v>6556.77</v>
      </c>
      <c r="G510" s="168">
        <f t="shared" ref="G510" si="1553">(F510-F509)/F509</f>
        <v>-1.0847226263694075E-3</v>
      </c>
      <c r="H510" s="199">
        <f t="shared" ref="H510" si="1554">(F510-F$2)/F$2</f>
        <v>0.28773690515937717</v>
      </c>
      <c r="I510" s="217">
        <v>305919.12</v>
      </c>
      <c r="J510" s="170">
        <v>300000</v>
      </c>
      <c r="K510" s="170">
        <f t="shared" ref="K510" si="1555">I510-I509-J510+J509</f>
        <v>-785.84000000002561</v>
      </c>
      <c r="L510" s="168">
        <f t="shared" ref="L510" si="1556">K510/I509</f>
        <v>-2.5622017981059893E-3</v>
      </c>
      <c r="M510" s="178">
        <f t="shared" ref="M510" si="1557">I510-J510</f>
        <v>5919.1199999999953</v>
      </c>
      <c r="N510" s="180">
        <f t="shared" ref="N510" si="1558">M510/J510</f>
        <v>1.9730399999999985E-2</v>
      </c>
      <c r="O510" s="179">
        <f t="shared" si="998"/>
        <v>8.9969146067415667E-3</v>
      </c>
      <c r="P510" s="178" t="b">
        <f t="shared" ref="P510" si="1559">L510&gt;D510</f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ref="S510" si="1560">I510-R510</f>
        <v>49093.419999999984</v>
      </c>
      <c r="T510" s="170">
        <v>-42976</v>
      </c>
      <c r="U510" s="170">
        <f t="shared" ref="U510" si="1561">M510-T510</f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1202"/>
        <v>0.71232962871541616</v>
      </c>
      <c r="Y510" s="171">
        <f t="shared" si="1203"/>
        <v>3.0004068485748572E-2</v>
      </c>
      <c r="Z510" s="784">
        <f t="shared" si="1204"/>
        <v>-0.19809270077814353</v>
      </c>
    </row>
    <row r="511" spans="1:26" ht="20.100000000000001" customHeight="1" x14ac:dyDescent="0.25">
      <c r="A511" s="160">
        <f t="shared" si="929"/>
        <v>802</v>
      </c>
      <c r="B511" s="169">
        <v>43035</v>
      </c>
      <c r="C511" s="211">
        <v>2581.0700000000002</v>
      </c>
      <c r="D511" s="168">
        <f t="shared" ref="D511" si="1562">(C511-C510)/C510</f>
        <v>8.0729573504140263E-3</v>
      </c>
      <c r="E511" s="205">
        <f t="shared" ref="E511" si="1563">(C511-$C$2)/$C$2</f>
        <v>0.22765453473107441</v>
      </c>
      <c r="F511" s="215">
        <v>6701.26</v>
      </c>
      <c r="G511" s="168">
        <f t="shared" ref="G511" si="1564">(F511-F510)/F510</f>
        <v>2.2036765053524796E-2</v>
      </c>
      <c r="H511" s="199">
        <f t="shared" ref="H511" si="1565">(F511-F$2)/F$2</f>
        <v>0.31611446078912747</v>
      </c>
      <c r="I511" s="217">
        <v>305278.40999999997</v>
      </c>
      <c r="J511" s="170">
        <v>300000</v>
      </c>
      <c r="K511" s="170">
        <f t="shared" ref="K511" si="1566">I511-I510-J511+J510</f>
        <v>-640.71000000002095</v>
      </c>
      <c r="L511" s="168">
        <f t="shared" ref="L511" si="1567">K511/I510</f>
        <v>-2.0943771020262513E-3</v>
      </c>
      <c r="M511" s="178">
        <f t="shared" ref="M511" si="1568">I511-J511</f>
        <v>5278.4099999999744</v>
      </c>
      <c r="N511" s="180">
        <f t="shared" ref="N511" si="1569">M511/J511</f>
        <v>1.7594699999999915E-2</v>
      </c>
      <c r="O511" s="179">
        <f t="shared" si="998"/>
        <v>8.0130475997505848E-3</v>
      </c>
      <c r="P511" s="178" t="b">
        <f t="shared" ref="P511" si="1570">L511&gt;D511</f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ref="S511" si="1571">I511-R511</f>
        <v>46025.609999999986</v>
      </c>
      <c r="T511" s="170">
        <v>-43407</v>
      </c>
      <c r="U511" s="170">
        <f t="shared" ref="U511" si="1572">M511-T511</f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1202"/>
        <v>0.74373069677729886</v>
      </c>
      <c r="Y511" s="171">
        <f t="shared" si="1203"/>
        <v>2.6748831844022953E-2</v>
      </c>
      <c r="Z511" s="784">
        <f t="shared" si="1204"/>
        <v>-0.21005983473107451</v>
      </c>
    </row>
    <row r="512" spans="1:26" ht="20.100000000000001" customHeight="1" x14ac:dyDescent="0.25">
      <c r="A512" s="160">
        <f t="shared" si="929"/>
        <v>805</v>
      </c>
      <c r="B512" s="169">
        <v>43038</v>
      </c>
      <c r="C512" s="211">
        <v>2572.83</v>
      </c>
      <c r="D512" s="168">
        <f t="shared" ref="D512" si="1573">(C512-C511)/C511</f>
        <v>-3.1924744388955881E-3</v>
      </c>
      <c r="E512" s="205">
        <f t="shared" ref="E512" si="1574">(C512-$C$2)/$C$2</f>
        <v>0.22373527900915122</v>
      </c>
      <c r="F512" s="215">
        <v>6698.96</v>
      </c>
      <c r="G512" s="168">
        <f t="shared" ref="G512" si="1575">(F512-F511)/F511</f>
        <v>-3.4321903642004365E-4</v>
      </c>
      <c r="H512" s="199">
        <f t="shared" ref="H512" si="1576">(F512-F$2)/F$2</f>
        <v>0.31566274525207694</v>
      </c>
      <c r="I512" s="217">
        <v>307777.62</v>
      </c>
      <c r="J512" s="170">
        <v>300000</v>
      </c>
      <c r="K512" s="170">
        <f t="shared" ref="K512" si="1577">I512-I511-J512+J511</f>
        <v>2499.210000000021</v>
      </c>
      <c r="L512" s="168">
        <f t="shared" ref="L512" si="1578">K512/I511</f>
        <v>8.1866582048826225E-3</v>
      </c>
      <c r="M512" s="178">
        <f t="shared" ref="M512" si="1579">I512-J512</f>
        <v>7777.6199999999953</v>
      </c>
      <c r="N512" s="180">
        <f t="shared" ref="N512" si="1580">M512/J512</f>
        <v>2.5925399999999984E-2</v>
      </c>
      <c r="O512" s="179">
        <f t="shared" si="998"/>
        <v>1.176304639751552E-2</v>
      </c>
      <c r="P512" s="178" t="b">
        <f t="shared" ref="P512" si="1581">L512&gt;D512</f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ref="S512" si="1582">I512-R512</f>
        <v>46036.239999999991</v>
      </c>
      <c r="T512" s="170">
        <v>-43230</v>
      </c>
      <c r="U512" s="170">
        <f t="shared" ref="U512" si="1583">M512-T512</f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1202"/>
        <v>0.7287966264278648</v>
      </c>
      <c r="Y512" s="171">
        <f t="shared" si="1203"/>
        <v>3.9298939701835414E-2</v>
      </c>
      <c r="Z512" s="784">
        <f t="shared" si="1204"/>
        <v>-0.19780987900915123</v>
      </c>
    </row>
    <row r="513" spans="1:26" ht="20.100000000000001" customHeight="1" x14ac:dyDescent="0.25">
      <c r="A513" s="160">
        <f t="shared" ref="A513:A546" si="1584">B513-$B$2</f>
        <v>806</v>
      </c>
      <c r="B513" s="169">
        <v>43039</v>
      </c>
      <c r="C513" s="211">
        <v>2575.2600000000002</v>
      </c>
      <c r="D513" s="168">
        <f t="shared" ref="D513" si="1585">(C513-C512)/C512</f>
        <v>9.4448525553584618E-4</v>
      </c>
      <c r="E513" s="205">
        <f t="shared" ref="E513" si="1586">(C513-$C$2)/$C$2</f>
        <v>0.22489107893685439</v>
      </c>
      <c r="F513" s="215">
        <v>6727.66</v>
      </c>
      <c r="G513" s="168">
        <f t="shared" ref="G513" si="1587">(F513-F512)/F512</f>
        <v>4.2842471070135991E-3</v>
      </c>
      <c r="H513" s="199">
        <f t="shared" ref="H513" si="1588">(F513-F$2)/F$2</f>
        <v>0.32129936956222876</v>
      </c>
      <c r="I513" s="462">
        <v>309994</v>
      </c>
      <c r="J513" s="170">
        <v>300000</v>
      </c>
      <c r="K513" s="170">
        <f t="shared" ref="K513" si="1589">I513-I512-J513+J512</f>
        <v>2216.3800000000047</v>
      </c>
      <c r="L513" s="168">
        <f t="shared" ref="L513" si="1590">K513/I512</f>
        <v>7.2012383486492774E-3</v>
      </c>
      <c r="M513" s="462">
        <f t="shared" ref="M513" si="1591">I513-J513</f>
        <v>9994</v>
      </c>
      <c r="N513" s="180">
        <f t="shared" ref="N513" si="1592">M513/J513</f>
        <v>3.3313333333333334E-2</v>
      </c>
      <c r="O513" s="179">
        <f t="shared" si="998"/>
        <v>1.5096395781637717E-2</v>
      </c>
      <c r="P513" s="178" t="b">
        <f t="shared" ref="P513" si="1593">L513&gt;D513</f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ref="S513" si="1594">I513-R513</f>
        <v>46036.239999999991</v>
      </c>
      <c r="T513" s="170">
        <v>-43049</v>
      </c>
      <c r="U513" s="170">
        <f t="shared" ref="U513:U515" si="1595">M513-T513</f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1202"/>
        <v>0.73236858661330961</v>
      </c>
      <c r="Y513" s="171">
        <f t="shared" si="1203"/>
        <v>5.0478324311550929E-2</v>
      </c>
      <c r="Z513" s="784">
        <f t="shared" si="1204"/>
        <v>-0.19157774560352106</v>
      </c>
    </row>
    <row r="514" spans="1:26" ht="20.100000000000001" customHeight="1" x14ac:dyDescent="0.25">
      <c r="A514" s="160">
        <f t="shared" si="1584"/>
        <v>807</v>
      </c>
      <c r="B514" s="169">
        <v>43040</v>
      </c>
      <c r="C514" s="211">
        <v>2579.36</v>
      </c>
      <c r="D514" s="168">
        <f t="shared" ref="D514" si="1596">(C514-C513)/C513</f>
        <v>1.5920722567818041E-3</v>
      </c>
      <c r="E514" s="205">
        <f t="shared" ref="E514" si="1597">(C514-$C$2)/$C$2</f>
        <v>0.22684119404120928</v>
      </c>
      <c r="F514" s="215">
        <v>6716.53</v>
      </c>
      <c r="G514" s="168">
        <f t="shared" ref="G514" si="1598">(F514-F513)/F513</f>
        <v>-1.6543642217353596E-3</v>
      </c>
      <c r="H514" s="199">
        <f t="shared" ref="H514" si="1599">(F514-F$2)/F$2</f>
        <v>0.3191134591590235</v>
      </c>
      <c r="I514" s="217">
        <v>314097.48</v>
      </c>
      <c r="J514" s="170">
        <v>300000</v>
      </c>
      <c r="K514" s="170">
        <f t="shared" ref="K514" si="1600">I514-I513-J514+J513</f>
        <v>4103.4799999999814</v>
      </c>
      <c r="L514" s="168">
        <f t="shared" ref="L514" si="1601">K514/I513</f>
        <v>1.3237288463647624E-2</v>
      </c>
      <c r="M514" s="178">
        <f t="shared" ref="M514" si="1602">I514-J514</f>
        <v>14097.479999999981</v>
      </c>
      <c r="N514" s="180">
        <f t="shared" ref="N514" si="1603">M514/J514</f>
        <v>4.6991599999999939E-2</v>
      </c>
      <c r="O514" s="179">
        <f t="shared" si="998"/>
        <v>2.1268502973977668E-2</v>
      </c>
      <c r="P514" s="178" t="b">
        <f t="shared" ref="P514" si="1604">L514&gt;D514</f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ref="S514" si="1605">I514-R514</f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1202"/>
        <v>0.73851424027965751</v>
      </c>
      <c r="Y514" s="171">
        <f t="shared" si="1203"/>
        <v>7.1153587803861038E-2</v>
      </c>
      <c r="Z514" s="784">
        <f t="shared" si="1204"/>
        <v>-0.17984959404120934</v>
      </c>
    </row>
    <row r="515" spans="1:26" ht="20.100000000000001" customHeight="1" x14ac:dyDescent="0.25">
      <c r="A515" s="160">
        <f t="shared" si="1584"/>
        <v>808</v>
      </c>
      <c r="B515" s="169">
        <v>43041</v>
      </c>
      <c r="C515" s="211">
        <v>2579.85</v>
      </c>
      <c r="D515" s="168">
        <f t="shared" ref="D515" si="1606">(C515-C514)/C514</f>
        <v>1.8996960486313726E-4</v>
      </c>
      <c r="E515" s="205">
        <f t="shared" ref="E515" si="1607">(C515-$C$2)/$C$2</f>
        <v>0.22707425657807112</v>
      </c>
      <c r="F515" s="215">
        <v>6714.94</v>
      </c>
      <c r="G515" s="168">
        <f t="shared" ref="G515" si="1608">(F515-F514)/F514</f>
        <v>-2.3672938258299233E-4</v>
      </c>
      <c r="H515" s="199">
        <f t="shared" ref="H515" si="1609">(F515-F$2)/F$2</f>
        <v>0.31880118624427989</v>
      </c>
      <c r="I515" s="217">
        <v>315145.06</v>
      </c>
      <c r="J515" s="170">
        <v>300000</v>
      </c>
      <c r="K515" s="170">
        <f t="shared" ref="K515" si="1610">I515-I514-J515+J514</f>
        <v>1047.5800000000163</v>
      </c>
      <c r="L515" s="168">
        <f t="shared" ref="L515" si="1611">K515/I514</f>
        <v>3.3352066371242976E-3</v>
      </c>
      <c r="M515" s="178">
        <f t="shared" ref="M515" si="1612">I515-J515</f>
        <v>15145.059999999998</v>
      </c>
      <c r="N515" s="180">
        <f t="shared" ref="N515" si="1613">M515/J515</f>
        <v>5.0483533333333323E-2</v>
      </c>
      <c r="O515" s="179">
        <f t="shared" si="998"/>
        <v>2.2820681373762371E-2</v>
      </c>
      <c r="P515" s="178" t="b">
        <f t="shared" ref="P515" si="1614">L515&gt;D515</f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ref="S515" si="1615">I515-R515</f>
        <v>53621.880000000005</v>
      </c>
      <c r="T515" s="170">
        <v>-42858</v>
      </c>
      <c r="U515" s="170">
        <f t="shared" si="1595"/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1202"/>
        <v>0.73907960091429403</v>
      </c>
      <c r="Y515" s="171">
        <f t="shared" si="1203"/>
        <v>7.6419273949748734E-2</v>
      </c>
      <c r="Z515" s="784">
        <f t="shared" si="1204"/>
        <v>-0.17659072324473779</v>
      </c>
    </row>
    <row r="516" spans="1:26" ht="20.100000000000001" customHeight="1" x14ac:dyDescent="0.25">
      <c r="A516" s="160">
        <f t="shared" si="1584"/>
        <v>809</v>
      </c>
      <c r="B516" s="169">
        <v>43042</v>
      </c>
      <c r="C516" s="211">
        <v>2587.84</v>
      </c>
      <c r="D516" s="168">
        <f t="shared" ref="D516" si="1616">(C516-C515)/C515</f>
        <v>3.0970792875555696E-3</v>
      </c>
      <c r="E516" s="205">
        <f t="shared" ref="E516" si="1617">(C516-$C$2)/$C$2</f>
        <v>0.23087460284241171</v>
      </c>
      <c r="F516" s="215">
        <v>6764.43</v>
      </c>
      <c r="G516" s="168">
        <f t="shared" ref="G516" si="1618">(F516-F515)/F515</f>
        <v>7.3701328679036142E-3</v>
      </c>
      <c r="H516" s="199">
        <f t="shared" ref="H516" si="1619">(F516-F$2)/F$2</f>
        <v>0.32852092621324913</v>
      </c>
      <c r="I516" s="217">
        <v>316040.12</v>
      </c>
      <c r="J516" s="170">
        <v>300000</v>
      </c>
      <c r="K516" s="170">
        <f t="shared" ref="K516" si="1620">I516-I515-J516+J515</f>
        <v>895.05999999999767</v>
      </c>
      <c r="L516" s="168">
        <f t="shared" ref="L516" si="1621">K516/I515</f>
        <v>2.8401524047370367E-3</v>
      </c>
      <c r="M516" s="178">
        <f t="shared" ref="M516" si="1622">I516-J516</f>
        <v>16040.119999999995</v>
      </c>
      <c r="N516" s="180">
        <f t="shared" ref="N516" si="1623">M516/J516</f>
        <v>5.3467066666666653E-2</v>
      </c>
      <c r="O516" s="179">
        <f t="shared" si="998"/>
        <v>2.4139488380716927E-2</v>
      </c>
      <c r="P516" s="178" t="b">
        <f t="shared" ref="P516" si="1624">L516&gt;D516</f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ref="S516" si="1625">I516-R516</f>
        <v>63159.66</v>
      </c>
      <c r="T516" s="170">
        <v>-42866</v>
      </c>
      <c r="U516" s="170">
        <f t="shared" ref="U516" si="1626">M516-T516</f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1202"/>
        <v>0.75118497538201423</v>
      </c>
      <c r="Y516" s="171">
        <f t="shared" si="1203"/>
        <v>8.0913154802199336E-2</v>
      </c>
      <c r="Z516" s="784">
        <f t="shared" si="1204"/>
        <v>-0.17740753617574506</v>
      </c>
    </row>
    <row r="517" spans="1:26" ht="20.100000000000001" customHeight="1" x14ac:dyDescent="0.25">
      <c r="A517" s="160">
        <f t="shared" si="1584"/>
        <v>812</v>
      </c>
      <c r="B517" s="169">
        <v>43045</v>
      </c>
      <c r="C517" s="211">
        <v>2591.13</v>
      </c>
      <c r="D517" s="168">
        <f t="shared" ref="D517" si="1627">(C517-C516)/C516</f>
        <v>1.2713305304810048E-3</v>
      </c>
      <c r="E517" s="205">
        <f t="shared" ref="E517" si="1628">(C517-$C$2)/$C$2</f>
        <v>0.23243945130419896</v>
      </c>
      <c r="F517" s="215">
        <v>6786.43</v>
      </c>
      <c r="G517" s="168">
        <f t="shared" ref="G517" si="1629">(F517-F516)/F516</f>
        <v>3.2523065505888891E-3</v>
      </c>
      <c r="H517" s="199">
        <f t="shared" ref="H517" si="1630">(F517-F$2)/F$2</f>
        <v>0.33284168352416688</v>
      </c>
      <c r="I517" s="217">
        <v>319399.58</v>
      </c>
      <c r="J517" s="170">
        <v>300000</v>
      </c>
      <c r="K517" s="170">
        <f t="shared" ref="K517" si="1631">I517-I516-J517+J516</f>
        <v>3359.460000000021</v>
      </c>
      <c r="L517" s="168">
        <f t="shared" ref="L517" si="1632">K517/I516</f>
        <v>1.0629852943987052E-2</v>
      </c>
      <c r="M517" s="178">
        <f t="shared" ref="M517" si="1633">I517-J517</f>
        <v>19399.580000000016</v>
      </c>
      <c r="N517" s="180">
        <f t="shared" ref="N517" si="1634">M517/J517</f>
        <v>6.4665266666666721E-2</v>
      </c>
      <c r="O517" s="179">
        <f t="shared" si="998"/>
        <v>2.9087424445812832E-2</v>
      </c>
      <c r="P517" s="178" t="b">
        <f t="shared" ref="P517" si="1635">L517&gt;D517</f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ref="S517" si="1636">I517-R517</f>
        <v>48028.960000000021</v>
      </c>
      <c r="T517" s="170">
        <v>-42964</v>
      </c>
      <c r="U517" s="170">
        <f t="shared" ref="U517" si="1637">M517-T517</f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1202"/>
        <v>0.75420974952943309</v>
      </c>
      <c r="Y517" s="171">
        <f t="shared" si="1203"/>
        <v>9.7565215937343477E-2</v>
      </c>
      <c r="Z517" s="784">
        <f t="shared" si="1204"/>
        <v>-0.16777418463753224</v>
      </c>
    </row>
    <row r="518" spans="1:26" ht="20.100000000000001" customHeight="1" x14ac:dyDescent="0.25">
      <c r="A518" s="160">
        <f t="shared" si="1584"/>
        <v>813</v>
      </c>
      <c r="B518" s="169">
        <v>43046</v>
      </c>
      <c r="C518" s="211">
        <v>2590.64</v>
      </c>
      <c r="D518" s="168">
        <f t="shared" ref="D518" si="1638">(C518-C517)/C517</f>
        <v>-1.891066831846478E-4</v>
      </c>
      <c r="E518" s="205">
        <f t="shared" ref="E518" si="1639">(C518-$C$2)/$C$2</f>
        <v>0.2322063887673369</v>
      </c>
      <c r="F518" s="215">
        <v>6767.78</v>
      </c>
      <c r="G518" s="168">
        <f t="shared" ref="G518" si="1640">(F518-F517)/F517</f>
        <v>-2.7481311971096064E-3</v>
      </c>
      <c r="H518" s="199">
        <f t="shared" ref="H518" si="1641">(F518-F$2)/F$2</f>
        <v>0.32917885971286603</v>
      </c>
      <c r="I518" s="217">
        <v>318506.81</v>
      </c>
      <c r="J518" s="170">
        <v>300000</v>
      </c>
      <c r="K518" s="170">
        <f t="shared" ref="K518" si="1642">I518-I517-J518+J517</f>
        <v>-892.77000000001863</v>
      </c>
      <c r="L518" s="168">
        <f t="shared" ref="L518" si="1643">K518/I517</f>
        <v>-2.7951508264350837E-3</v>
      </c>
      <c r="M518" s="178">
        <f t="shared" ref="M518" si="1644">I518-J518</f>
        <v>18506.809999999998</v>
      </c>
      <c r="N518" s="180">
        <f t="shared" ref="N518" si="1645">M518/J518</f>
        <v>6.1689366666666662E-2</v>
      </c>
      <c r="O518" s="179">
        <f t="shared" si="998"/>
        <v>2.7714687792127921E-2</v>
      </c>
      <c r="P518" s="178" t="b">
        <f t="shared" ref="P518" si="1646">L518&gt;D518</f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ref="S518" si="1647">I518-R518</f>
        <v>47135.19</v>
      </c>
      <c r="T518" s="170">
        <v>-42963</v>
      </c>
      <c r="U518" s="170">
        <f t="shared" ref="U518" si="1648">M518-T518</f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1202"/>
        <v>0.75325459282364204</v>
      </c>
      <c r="Y518" s="171">
        <f t="shared" si="1203"/>
        <v>9.3048448817454374E-2</v>
      </c>
      <c r="Z518" s="784">
        <f t="shared" si="1204"/>
        <v>-0.17051702210067024</v>
      </c>
    </row>
    <row r="519" spans="1:26" ht="20.100000000000001" customHeight="1" x14ac:dyDescent="0.25">
      <c r="A519" s="160">
        <f t="shared" si="1584"/>
        <v>814</v>
      </c>
      <c r="B519" s="169">
        <v>43047</v>
      </c>
      <c r="C519" s="211">
        <v>2594.38</v>
      </c>
      <c r="D519" s="168">
        <f t="shared" ref="D519" si="1649">(C519-C518)/C518</f>
        <v>1.4436587098169706E-3</v>
      </c>
      <c r="E519" s="205">
        <f t="shared" ref="E519" si="1650">(C519-$C$2)/$C$2</f>
        <v>0.23398527425277299</v>
      </c>
      <c r="F519" s="215">
        <v>6789.11</v>
      </c>
      <c r="G519" s="168">
        <f t="shared" ref="G519" si="1651">(F519-F518)/F518</f>
        <v>3.1516981934991872E-3</v>
      </c>
      <c r="H519" s="199">
        <f t="shared" ref="H519" si="1652">(F519-F$2)/F$2</f>
        <v>0.33336803032386036</v>
      </c>
      <c r="I519" s="217">
        <v>317938.40999999997</v>
      </c>
      <c r="J519" s="170">
        <v>300000</v>
      </c>
      <c r="K519" s="170">
        <f t="shared" ref="K519" si="1653">I519-I518-J519+J518</f>
        <v>-568.40000000002328</v>
      </c>
      <c r="L519" s="168">
        <f t="shared" ref="L519" si="1654">K519/I518</f>
        <v>-1.7845772277208869E-3</v>
      </c>
      <c r="M519" s="178">
        <f t="shared" ref="M519" si="1655">I519-J519</f>
        <v>17938.409999999974</v>
      </c>
      <c r="N519" s="180">
        <f t="shared" ref="N519" si="1656">M519/J519</f>
        <v>5.9794699999999916E-2</v>
      </c>
      <c r="O519" s="179">
        <f t="shared" ref="O519:O546" si="1657">N519/(A519/365.25)</f>
        <v>2.6830484244471708E-2</v>
      </c>
      <c r="P519" s="178" t="b">
        <f t="shared" ref="P519" si="1658">L519&gt;D519</f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ref="S519" si="1659">I519-R519</f>
        <v>46565.789999999979</v>
      </c>
      <c r="T519" s="170">
        <v>-42962</v>
      </c>
      <c r="U519" s="170">
        <f t="shared" ref="U519" si="1660">M519-T519</f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1202"/>
        <v>0.75881863395185201</v>
      </c>
      <c r="Y519" s="171">
        <f t="shared" si="1203"/>
        <v>9.0166023542094562E-2</v>
      </c>
      <c r="Z519" s="784">
        <f t="shared" si="1204"/>
        <v>-0.17419057425277307</v>
      </c>
    </row>
    <row r="520" spans="1:26" ht="20.100000000000001" customHeight="1" x14ac:dyDescent="0.25">
      <c r="A520" s="160">
        <f t="shared" si="1584"/>
        <v>815</v>
      </c>
      <c r="B520" s="169">
        <v>43048</v>
      </c>
      <c r="C520" s="211">
        <v>2584.62</v>
      </c>
      <c r="D520" s="168">
        <f t="shared" ref="D520" si="1661">(C520-C519)/C519</f>
        <v>-3.761977813581749E-3</v>
      </c>
      <c r="E520" s="205">
        <f t="shared" ref="E520" si="1662">(C520-$C$2)/$C$2</f>
        <v>0.22934304902874747</v>
      </c>
      <c r="F520" s="215">
        <v>6750.05</v>
      </c>
      <c r="G520" s="168">
        <f t="shared" ref="G520" si="1663">(F520-F519)/F519</f>
        <v>-5.7533314381413014E-3</v>
      </c>
      <c r="H520" s="199">
        <f t="shared" ref="H520" si="1664">(F520-F$2)/F$2</f>
        <v>0.32569672211638556</v>
      </c>
      <c r="I520" s="217">
        <v>318455.09000000003</v>
      </c>
      <c r="J520" s="170">
        <v>300000</v>
      </c>
      <c r="K520" s="170">
        <f t="shared" ref="K520" si="1665">I520-I519-J520+J519</f>
        <v>516.68000000005122</v>
      </c>
      <c r="L520" s="168">
        <f t="shared" ref="L520" si="1666">K520/I519</f>
        <v>1.6250946213137672E-3</v>
      </c>
      <c r="M520" s="178">
        <f t="shared" ref="M520" si="1667">I520-J520</f>
        <v>18455.090000000026</v>
      </c>
      <c r="N520" s="180">
        <f t="shared" ref="N520" si="1668">M520/J520</f>
        <v>6.1516966666666749E-2</v>
      </c>
      <c r="O520" s="179">
        <f t="shared" si="1657"/>
        <v>2.7569413588957092E-2</v>
      </c>
      <c r="P520" s="178" t="b">
        <f t="shared" ref="P520" si="1669">L520&gt;D520</f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ref="S520" si="1670">I520-R520</f>
        <v>51203.330000000016</v>
      </c>
      <c r="T520" s="170">
        <v>-41764</v>
      </c>
      <c r="U520" s="170">
        <f t="shared" ref="U520" si="1671">M520-T520</f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1202"/>
        <v>0.74340323726033974</v>
      </c>
      <c r="Y520" s="171">
        <f t="shared" si="1203"/>
        <v>9.2738634509431206E-2</v>
      </c>
      <c r="Z520" s="784">
        <f t="shared" si="1204"/>
        <v>-0.16782608236208071</v>
      </c>
    </row>
    <row r="521" spans="1:26" ht="20.100000000000001" customHeight="1" x14ac:dyDescent="0.25">
      <c r="A521" s="160">
        <f t="shared" si="1584"/>
        <v>816</v>
      </c>
      <c r="B521" s="169">
        <v>43049</v>
      </c>
      <c r="C521" s="211">
        <v>2582.3000000000002</v>
      </c>
      <c r="D521" s="168">
        <f t="shared" ref="D521" si="1672">(C521-C520)/C520</f>
        <v>-8.9761744473064085E-4</v>
      </c>
      <c r="E521" s="205">
        <f t="shared" ref="E521" si="1673">(C521-$C$2)/$C$2</f>
        <v>0.2282395692623809</v>
      </c>
      <c r="F521" s="215">
        <v>6750.93</v>
      </c>
      <c r="G521" s="168">
        <f t="shared" ref="G521" si="1674">(F521-F520)/F520</f>
        <v>1.3036940467109267E-4</v>
      </c>
      <c r="H521" s="199">
        <f t="shared" ref="H521" si="1675">(F521-F$2)/F$2</f>
        <v>0.32586955240882232</v>
      </c>
      <c r="I521" s="217">
        <v>318102.55</v>
      </c>
      <c r="J521" s="170">
        <v>300000</v>
      </c>
      <c r="K521" s="170">
        <f t="shared" ref="K521" si="1676">I521-I520-J521+J520</f>
        <v>-352.54000000003725</v>
      </c>
      <c r="L521" s="168">
        <f t="shared" ref="L521" si="1677">K521/I520</f>
        <v>-1.1070320778984479E-3</v>
      </c>
      <c r="M521" s="178">
        <f t="shared" ref="M521" si="1678">I521-J521</f>
        <v>18102.549999999988</v>
      </c>
      <c r="N521" s="180">
        <f t="shared" ref="N521" si="1679">M521/J521</f>
        <v>6.0341833333333296E-2</v>
      </c>
      <c r="O521" s="179">
        <f t="shared" si="1657"/>
        <v>2.7009625765931359E-2</v>
      </c>
      <c r="P521" s="178" t="b">
        <f t="shared" ref="P521" si="1680">L521&gt;D521</f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ref="S521" si="1681">I521-R521</f>
        <v>51203.330000000016</v>
      </c>
      <c r="T521" s="170">
        <v>-41821</v>
      </c>
      <c r="U521" s="170">
        <f t="shared" ref="U521" si="1682">M521-T521</f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1202"/>
        <v>0.73961724349483016</v>
      </c>
      <c r="Y521" s="171">
        <f t="shared" si="1203"/>
        <v>9.0942826402317448E-2</v>
      </c>
      <c r="Z521" s="784">
        <f t="shared" si="1204"/>
        <v>-0.16789773592904761</v>
      </c>
    </row>
    <row r="522" spans="1:26" ht="20.100000000000001" customHeight="1" x14ac:dyDescent="0.25">
      <c r="A522" s="160">
        <f t="shared" si="1584"/>
        <v>819</v>
      </c>
      <c r="B522" s="169">
        <v>43052</v>
      </c>
      <c r="C522" s="211">
        <v>2584.84</v>
      </c>
      <c r="D522" s="168">
        <f t="shared" ref="D522" si="1683">(C522-C521)/C521</f>
        <v>9.836192541532601E-4</v>
      </c>
      <c r="E522" s="205">
        <f t="shared" ref="E522" si="1684">(C522-$C$2)/$C$2</f>
        <v>0.22944768935142029</v>
      </c>
      <c r="F522" s="215">
        <v>6757.59</v>
      </c>
      <c r="G522" s="168">
        <f t="shared" ref="G522" si="1685">(F522-F521)/F521</f>
        <v>9.865307446529374E-4</v>
      </c>
      <c r="H522" s="199">
        <f t="shared" ref="H522" si="1686">(F522-F$2)/F$2</f>
        <v>0.32717756348567284</v>
      </c>
      <c r="I522" s="217">
        <v>317452.71000000002</v>
      </c>
      <c r="J522" s="170">
        <v>300000</v>
      </c>
      <c r="K522" s="170">
        <f t="shared" ref="K522" si="1687">I522-I521-J522+J521</f>
        <v>-649.8399999999674</v>
      </c>
      <c r="L522" s="168">
        <f t="shared" ref="L522" si="1688">K522/I521</f>
        <v>-2.0428632213101323E-3</v>
      </c>
      <c r="M522" s="178">
        <f t="shared" ref="M522" si="1689">I522-J522</f>
        <v>17452.710000000021</v>
      </c>
      <c r="N522" s="180">
        <f t="shared" ref="N522" si="1690">M522/J522</f>
        <v>5.8175700000000073E-2</v>
      </c>
      <c r="O522" s="179">
        <f t="shared" si="1657"/>
        <v>2.5944657417582447E-2</v>
      </c>
      <c r="P522" s="178" t="b">
        <f t="shared" ref="P522" si="1691">L522&gt;D522</f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" si="1692">I522-R522</f>
        <v>52029.25</v>
      </c>
      <c r="T522" s="170">
        <v>-41650</v>
      </c>
      <c r="U522" s="170">
        <f t="shared" ref="U522" si="1693">M522-T522</f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1202"/>
        <v>0.74152050230680522</v>
      </c>
      <c r="Y522" s="171">
        <f t="shared" si="1203"/>
        <v>8.7439811528140551E-2</v>
      </c>
      <c r="Z522" s="784">
        <f t="shared" si="1204"/>
        <v>-0.17127198935142021</v>
      </c>
    </row>
    <row r="523" spans="1:26" ht="20.100000000000001" customHeight="1" x14ac:dyDescent="0.25">
      <c r="A523" s="160">
        <f t="shared" si="1584"/>
        <v>820</v>
      </c>
      <c r="B523" s="169">
        <v>43053</v>
      </c>
      <c r="C523" s="211">
        <v>2578.87</v>
      </c>
      <c r="D523" s="168">
        <f t="shared" ref="D523" si="1694">(C523-C522)/C522</f>
        <v>-2.309620711533501E-3</v>
      </c>
      <c r="E523" s="205">
        <f t="shared" ref="E523" si="1695">(C523-$C$2)/$C$2</f>
        <v>0.22660813150434725</v>
      </c>
      <c r="F523" s="215">
        <v>6737.87</v>
      </c>
      <c r="G523" s="168">
        <f t="shared" ref="G523" si="1696">(F523-F522)/F522</f>
        <v>-2.9182001275603071E-3</v>
      </c>
      <c r="H523" s="199">
        <f t="shared" ref="H523" si="1697">(F523-F$2)/F$2</f>
        <v>0.32330459375061377</v>
      </c>
      <c r="I523" s="217">
        <v>315348.65000000002</v>
      </c>
      <c r="J523" s="170">
        <v>300000</v>
      </c>
      <c r="K523" s="170">
        <f t="shared" ref="K523" si="1698">I523-I522-J523+J522</f>
        <v>-2104.0599999999977</v>
      </c>
      <c r="L523" s="168">
        <f t="shared" ref="L523" si="1699">K523/I522</f>
        <v>-6.627947828827788E-3</v>
      </c>
      <c r="M523" s="178">
        <f t="shared" ref="M523" si="1700">I523-J523</f>
        <v>15348.650000000023</v>
      </c>
      <c r="N523" s="180">
        <f t="shared" ref="N523" si="1701">M523/J523</f>
        <v>5.1162166666666745E-2</v>
      </c>
      <c r="O523" s="179">
        <f t="shared" si="1657"/>
        <v>2.2789001676829301E-2</v>
      </c>
      <c r="P523" s="178" t="b">
        <f t="shared" ref="P523" si="1702">L523&gt;D523</f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ref="S523" si="1703">I523-R523</f>
        <v>51013.590000000026</v>
      </c>
      <c r="T523" s="170">
        <v>-42023</v>
      </c>
      <c r="U523" s="170">
        <f t="shared" ref="U523" si="1704">M523-T523</f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1202"/>
        <v>0.73208479075210031</v>
      </c>
      <c r="Y523" s="171">
        <f t="shared" si="1203"/>
        <v>7.6867867447449001E-2</v>
      </c>
      <c r="Z523" s="784">
        <f t="shared" si="1204"/>
        <v>-0.17544596483768049</v>
      </c>
    </row>
    <row r="524" spans="1:26" ht="20.100000000000001" customHeight="1" x14ac:dyDescent="0.25">
      <c r="A524" s="160">
        <f t="shared" si="1584"/>
        <v>821</v>
      </c>
      <c r="B524" s="169">
        <v>43054</v>
      </c>
      <c r="C524" s="211">
        <v>2564.62</v>
      </c>
      <c r="D524" s="168">
        <f t="shared" ref="D524" si="1705">(C524-C523)/C523</f>
        <v>-5.5256759743608636E-3</v>
      </c>
      <c r="E524" s="205">
        <f t="shared" ref="E524" si="1706">(C524-$C$2)/$C$2</f>
        <v>0.219830292422138</v>
      </c>
      <c r="F524" s="215">
        <v>6706.2</v>
      </c>
      <c r="G524" s="168">
        <f t="shared" ref="G524" si="1707">(F524-F523)/F523</f>
        <v>-4.7002984622736971E-3</v>
      </c>
      <c r="H524" s="199">
        <f t="shared" ref="H524" si="1708">(F524-F$2)/F$2</f>
        <v>0.31708466720348805</v>
      </c>
      <c r="I524" s="217">
        <v>313226.95</v>
      </c>
      <c r="J524" s="170">
        <v>300000</v>
      </c>
      <c r="K524" s="170">
        <f t="shared" ref="K524" si="1709">I524-I523-J524+J523</f>
        <v>-2121.7000000000116</v>
      </c>
      <c r="L524" s="168">
        <f t="shared" ref="L524" si="1710">K524/I523</f>
        <v>-6.7281087139583803E-3</v>
      </c>
      <c r="M524" s="178">
        <f t="shared" ref="M524" si="1711">I524-J524</f>
        <v>13226.950000000012</v>
      </c>
      <c r="N524" s="180">
        <f t="shared" ref="N524" si="1712">M524/J524</f>
        <v>4.408983333333337E-2</v>
      </c>
      <c r="O524" s="179">
        <f t="shared" si="1657"/>
        <v>1.9614874086479918E-2</v>
      </c>
      <c r="P524" s="178" t="b">
        <f t="shared" ref="P524" si="1713">L524&gt;D524</f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ref="S524" si="1714">I524-R524</f>
        <v>51013.590000000026</v>
      </c>
      <c r="T524" s="170">
        <v>-42790</v>
      </c>
      <c r="U524" s="170">
        <f t="shared" ref="U524" si="1715">M524-T524</f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1202"/>
        <v>0.70968471462993621</v>
      </c>
      <c r="Y524" s="171">
        <f t="shared" si="1203"/>
        <v>6.6215712753913566E-2</v>
      </c>
      <c r="Z524" s="784">
        <f t="shared" si="1204"/>
        <v>-0.17574045908880465</v>
      </c>
    </row>
    <row r="525" spans="1:26" ht="20.100000000000001" customHeight="1" x14ac:dyDescent="0.25">
      <c r="A525" s="160">
        <f t="shared" si="1584"/>
        <v>822</v>
      </c>
      <c r="B525" s="169">
        <v>43055</v>
      </c>
      <c r="C525" s="211">
        <v>2585.64</v>
      </c>
      <c r="D525" s="168">
        <f t="shared" ref="D525" si="1716">(C525-C524)/C524</f>
        <v>8.1961460177336146E-3</v>
      </c>
      <c r="E525" s="205">
        <f t="shared" ref="E525" si="1717">(C525-$C$2)/$C$2</f>
        <v>0.22982819961568454</v>
      </c>
      <c r="F525" s="215">
        <v>6793.29</v>
      </c>
      <c r="G525" s="168">
        <f t="shared" ref="G525" si="1718">(F525-F524)/F524</f>
        <v>1.2986490113626219E-2</v>
      </c>
      <c r="H525" s="199">
        <f t="shared" ref="H525" si="1719">(F525-F$2)/F$2</f>
        <v>0.33418897421293481</v>
      </c>
      <c r="I525" s="217">
        <v>314306.15000000002</v>
      </c>
      <c r="J525" s="170">
        <v>300000</v>
      </c>
      <c r="K525" s="170">
        <f t="shared" ref="K525" si="1720">I525-I524-J525+J524</f>
        <v>1079.2000000000116</v>
      </c>
      <c r="L525" s="168">
        <f t="shared" ref="L525:L535" si="1721">K525/I524</f>
        <v>3.4454251142821894E-3</v>
      </c>
      <c r="M525" s="178">
        <f t="shared" ref="M525" si="1722">I525-J525</f>
        <v>14306.150000000023</v>
      </c>
      <c r="N525" s="180">
        <f t="shared" ref="N525" si="1723">M525/J525</f>
        <v>4.7687166666666746E-2</v>
      </c>
      <c r="O525" s="179">
        <f t="shared" si="1657"/>
        <v>2.1189461830900279E-2</v>
      </c>
      <c r="P525" s="178" t="b">
        <f t="shared" ref="P525" si="1724">L525&gt;D525</f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ref="S525" si="1725">I525-R525</f>
        <v>51013.590000000026</v>
      </c>
      <c r="T525" s="170">
        <v>-41450</v>
      </c>
      <c r="U525" s="170">
        <f t="shared" ref="U525" si="1726">M525-T525</f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1202"/>
        <v>0.74119976794052167</v>
      </c>
      <c r="Y525" s="171">
        <f t="shared" si="1203"/>
        <v>7.1597997431621804E-2</v>
      </c>
      <c r="Z525" s="784">
        <f t="shared" si="1204"/>
        <v>-0.18214103294901779</v>
      </c>
    </row>
    <row r="526" spans="1:26" ht="20.100000000000001" customHeight="1" x14ac:dyDescent="0.25">
      <c r="A526" s="160">
        <f t="shared" si="1584"/>
        <v>823</v>
      </c>
      <c r="B526" s="169">
        <v>43056</v>
      </c>
      <c r="C526" s="211">
        <v>2578.85</v>
      </c>
      <c r="D526" s="168">
        <f t="shared" ref="D526:D535" si="1727">(C526-C525)/C525</f>
        <v>-2.626042295137747E-3</v>
      </c>
      <c r="E526" s="205">
        <f t="shared" ref="E526" si="1728">(C526-$C$2)/$C$2</f>
        <v>0.22659861874774065</v>
      </c>
      <c r="F526" s="215">
        <v>6782.79</v>
      </c>
      <c r="G526" s="168">
        <f t="shared" ref="G526:G535" si="1729">(F526-F525)/F525</f>
        <v>-1.5456428328541841E-3</v>
      </c>
      <c r="H526" s="199">
        <f t="shared" ref="H526:H531" si="1730">(F526-F$2)/F$2</f>
        <v>0.33212679458726951</v>
      </c>
      <c r="I526" s="217">
        <v>321104.7</v>
      </c>
      <c r="J526" s="170">
        <v>300000</v>
      </c>
      <c r="K526" s="170">
        <f t="shared" ref="K526:K531" si="1731">I526-I525-J526+J525</f>
        <v>6798.5499999999884</v>
      </c>
      <c r="L526" s="168">
        <f t="shared" si="1721"/>
        <v>2.1630343536071399E-2</v>
      </c>
      <c r="M526" s="178">
        <f t="shared" ref="M526" si="1732">I526-J526</f>
        <v>21104.700000000012</v>
      </c>
      <c r="N526" s="180">
        <f t="shared" ref="N526" si="1733">M526/J526</f>
        <v>7.0349000000000037E-2</v>
      </c>
      <c r="O526" s="179">
        <f t="shared" si="1657"/>
        <v>3.1221108444714474E-2</v>
      </c>
      <c r="P526" s="178" t="b">
        <f t="shared" ref="P526" si="1734">L526&gt;D526</f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ref="S526" si="1735">I526-R526</f>
        <v>55529.489999999991</v>
      </c>
      <c r="T526" s="170">
        <v>-39110</v>
      </c>
      <c r="U526" s="170">
        <f t="shared" ref="U526" si="1736">M526-T526</f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1202"/>
        <v>0.7305084057202802</v>
      </c>
      <c r="Y526" s="171">
        <f t="shared" si="1203"/>
        <v>0.10546494192346734</v>
      </c>
      <c r="Z526" s="784">
        <f t="shared" si="1204"/>
        <v>-0.15624961874774063</v>
      </c>
    </row>
    <row r="527" spans="1:26" ht="20.100000000000001" customHeight="1" x14ac:dyDescent="0.25">
      <c r="A527" s="160">
        <f t="shared" si="1584"/>
        <v>826</v>
      </c>
      <c r="B527" s="169">
        <v>43059</v>
      </c>
      <c r="C527" s="211">
        <v>2582.14</v>
      </c>
      <c r="D527" s="168">
        <f t="shared" si="1727"/>
        <v>1.2757624522558365E-3</v>
      </c>
      <c r="E527" s="205">
        <f t="shared" ref="E527" si="1737">(C527-$C$2)/$C$2</f>
        <v>0.22816346720952788</v>
      </c>
      <c r="F527" s="215">
        <v>6790.71</v>
      </c>
      <c r="G527" s="168">
        <f t="shared" si="1729"/>
        <v>1.1676610952130425E-3</v>
      </c>
      <c r="H527" s="199">
        <f t="shared" si="1730"/>
        <v>0.33368226721919991</v>
      </c>
      <c r="I527" s="217">
        <v>317244.77</v>
      </c>
      <c r="J527" s="170">
        <v>300000</v>
      </c>
      <c r="K527" s="170">
        <f t="shared" si="1731"/>
        <v>-3859.929999999993</v>
      </c>
      <c r="L527" s="168">
        <f t="shared" si="1721"/>
        <v>-1.2020783252316123E-2</v>
      </c>
      <c r="M527" s="178">
        <f t="shared" ref="M527" si="1738">I527-J527</f>
        <v>17244.770000000019</v>
      </c>
      <c r="N527" s="180">
        <f t="shared" ref="N527" si="1739">M527/J527</f>
        <v>5.7482566666666728E-2</v>
      </c>
      <c r="O527" s="179">
        <f t="shared" si="1657"/>
        <v>2.5418289921307534E-2</v>
      </c>
      <c r="P527" s="178" t="b">
        <f t="shared" ref="P527" si="1740">L527&gt;D527</f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ref="S527" si="1741">I527-R527</f>
        <v>47792.119999999995</v>
      </c>
      <c r="T527" s="170">
        <v>-39516</v>
      </c>
      <c r="U527" s="170">
        <f t="shared" ref="U527" si="1742">M527-T527</f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1202"/>
        <v>0.73357527893202901</v>
      </c>
      <c r="Y527" s="171">
        <f t="shared" si="1203"/>
        <v>8.5908347346947647E-2</v>
      </c>
      <c r="Z527" s="784">
        <f t="shared" si="1204"/>
        <v>-0.17068090054286114</v>
      </c>
    </row>
    <row r="528" spans="1:26" ht="20.100000000000001" customHeight="1" x14ac:dyDescent="0.25">
      <c r="A528" s="160">
        <f t="shared" si="1584"/>
        <v>827</v>
      </c>
      <c r="B528" s="169">
        <v>43060</v>
      </c>
      <c r="C528" s="211">
        <v>2599.0300000000002</v>
      </c>
      <c r="D528" s="168">
        <f t="shared" si="1727"/>
        <v>6.5410860758906677E-3</v>
      </c>
      <c r="E528" s="205">
        <f t="shared" ref="E528" si="1743">(C528-$C$2)/$C$2</f>
        <v>0.23619699016380974</v>
      </c>
      <c r="F528" s="215">
        <v>6862.47</v>
      </c>
      <c r="G528" s="168">
        <f t="shared" si="1729"/>
        <v>1.0567378079758997E-2</v>
      </c>
      <c r="H528" s="199">
        <f t="shared" si="1730"/>
        <v>0.34777579197517539</v>
      </c>
      <c r="I528" s="217">
        <v>314456.46999999997</v>
      </c>
      <c r="J528" s="170">
        <v>300000</v>
      </c>
      <c r="K528" s="170">
        <f t="shared" si="1731"/>
        <v>-2788.3000000000466</v>
      </c>
      <c r="L528" s="168">
        <f t="shared" si="1721"/>
        <v>-8.7891125833218509E-3</v>
      </c>
      <c r="M528" s="178">
        <f t="shared" ref="M528" si="1744">I528-J528</f>
        <v>14456.469999999972</v>
      </c>
      <c r="N528" s="180">
        <f t="shared" ref="N528" si="1745">M528/J528</f>
        <v>4.818823333333324E-2</v>
      </c>
      <c r="O528" s="179">
        <f t="shared" si="1657"/>
        <v>2.1282650816203105E-2</v>
      </c>
      <c r="P528" s="178" t="b">
        <f t="shared" ref="P528" si="1746">L528&gt;D528</f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ref="S528" si="1747">I528-R528</f>
        <v>49267.01999999996</v>
      </c>
      <c r="T528" s="170">
        <v>-40292</v>
      </c>
      <c r="U528" s="170">
        <f t="shared" ref="U528" si="1748">M528-T528</f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1202"/>
        <v>0.75884962980378745</v>
      </c>
      <c r="Y528" s="171">
        <f t="shared" si="1203"/>
        <v>7.1982585329888854E-2</v>
      </c>
      <c r="Z528" s="784">
        <f t="shared" si="1204"/>
        <v>-0.18800875683047649</v>
      </c>
    </row>
    <row r="529" spans="1:26" ht="20.100000000000001" customHeight="1" x14ac:dyDescent="0.25">
      <c r="A529" s="160">
        <f t="shared" si="1584"/>
        <v>828</v>
      </c>
      <c r="B529" s="169">
        <v>43061</v>
      </c>
      <c r="C529" s="211">
        <v>2597.08</v>
      </c>
      <c r="D529" s="168">
        <f t="shared" si="1727"/>
        <v>-7.5027991212116545E-4</v>
      </c>
      <c r="E529" s="205">
        <f t="shared" ref="E529" si="1749">(C529-$C$2)/$C$2</f>
        <v>0.23526949639466518</v>
      </c>
      <c r="F529" s="215">
        <v>6867.36</v>
      </c>
      <c r="G529" s="168">
        <f t="shared" si="1729"/>
        <v>7.1257142107716582E-4</v>
      </c>
      <c r="H529" s="199">
        <f t="shared" si="1730"/>
        <v>0.34873617848655653</v>
      </c>
      <c r="I529" s="217">
        <v>318417.02</v>
      </c>
      <c r="J529" s="170">
        <v>300000</v>
      </c>
      <c r="K529" s="170">
        <f t="shared" si="1731"/>
        <v>3960.5500000000466</v>
      </c>
      <c r="L529" s="168">
        <f t="shared" si="1721"/>
        <v>1.259490701527002E-2</v>
      </c>
      <c r="M529" s="178">
        <f t="shared" ref="M529" si="1750">I529-J529</f>
        <v>18417.020000000019</v>
      </c>
      <c r="N529" s="180">
        <f t="shared" ref="N529" si="1751">M529/J529</f>
        <v>6.1390066666666729E-2</v>
      </c>
      <c r="O529" s="179">
        <f t="shared" si="1657"/>
        <v>2.7080581944444473E-2</v>
      </c>
      <c r="P529" s="178" t="b">
        <f t="shared" ref="P529" si="1752">L529&gt;D529</f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ref="S529" si="1753">I529-R529</f>
        <v>49267.020000000019</v>
      </c>
      <c r="T529" s="170">
        <v>-40272</v>
      </c>
      <c r="U529" s="170">
        <f t="shared" ref="U529" si="1754">M529-T529</f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1202"/>
        <v>0.75566198882969593</v>
      </c>
      <c r="Y529" s="171">
        <f t="shared" si="1203"/>
        <v>9.1642427770959586E-2</v>
      </c>
      <c r="Z529" s="784">
        <f t="shared" si="1204"/>
        <v>-0.17387942972799847</v>
      </c>
    </row>
    <row r="530" spans="1:26" ht="20.100000000000001" customHeight="1" x14ac:dyDescent="0.25">
      <c r="A530" s="160">
        <f t="shared" si="1584"/>
        <v>830</v>
      </c>
      <c r="B530" s="169">
        <v>43063</v>
      </c>
      <c r="C530" s="211">
        <v>2602.42</v>
      </c>
      <c r="D530" s="168">
        <f t="shared" si="1727"/>
        <v>2.0561553744975689E-3</v>
      </c>
      <c r="E530" s="205">
        <f t="shared" ref="E530" si="1755">(C530-$C$2)/$C$2</f>
        <v>0.23780940240862997</v>
      </c>
      <c r="F530" s="215">
        <v>6889.16</v>
      </c>
      <c r="G530" s="168">
        <f t="shared" si="1729"/>
        <v>3.1744367559004018E-3</v>
      </c>
      <c r="H530" s="199">
        <f t="shared" si="1730"/>
        <v>0.35301765618555692</v>
      </c>
      <c r="I530" s="217">
        <v>319044.73</v>
      </c>
      <c r="J530" s="170">
        <v>300000</v>
      </c>
      <c r="K530" s="170">
        <f t="shared" si="1731"/>
        <v>627.70999999996275</v>
      </c>
      <c r="L530" s="168">
        <f t="shared" si="1721"/>
        <v>1.9713456271902886E-3</v>
      </c>
      <c r="M530" s="178">
        <f t="shared" ref="M530" si="1756">I530-J530</f>
        <v>19044.729999999981</v>
      </c>
      <c r="N530" s="180">
        <f t="shared" ref="N530" si="1757">M530/J530</f>
        <v>6.3482433333333269E-2</v>
      </c>
      <c r="O530" s="179">
        <f t="shared" si="1657"/>
        <v>2.7936094909638529E-2</v>
      </c>
      <c r="P530" s="178" t="b">
        <f t="shared" ref="P530" si="1758">L530&gt;D530</f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ref="S530" si="1759">I530-R530</f>
        <v>52842.880000000005</v>
      </c>
      <c r="T530" s="170">
        <v>-39912</v>
      </c>
      <c r="U530" s="170">
        <f t="shared" ref="U530" si="1760">M530-T530</f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1202"/>
        <v>0.76267804926992055</v>
      </c>
      <c r="Y530" s="171">
        <f t="shared" si="1203"/>
        <v>9.4626754892436604E-2</v>
      </c>
      <c r="Z530" s="784">
        <f t="shared" si="1204"/>
        <v>-0.17432696907529671</v>
      </c>
    </row>
    <row r="531" spans="1:26" ht="20.100000000000001" customHeight="1" x14ac:dyDescent="0.25">
      <c r="A531" s="160">
        <f t="shared" si="1584"/>
        <v>833</v>
      </c>
      <c r="B531" s="169">
        <v>43066</v>
      </c>
      <c r="C531" s="211">
        <v>2601.42</v>
      </c>
      <c r="D531" s="168">
        <f t="shared" si="1727"/>
        <v>-3.8425772934422574E-4</v>
      </c>
      <c r="E531" s="205">
        <f t="shared" ref="E531" si="1761">(C531-$C$2)/$C$2</f>
        <v>0.23733376457829949</v>
      </c>
      <c r="F531" s="215">
        <v>6878.52</v>
      </c>
      <c r="G531" s="168">
        <f t="shared" si="1729"/>
        <v>-1.5444553472410887E-3</v>
      </c>
      <c r="H531" s="199">
        <f t="shared" si="1730"/>
        <v>0.35092798083154952</v>
      </c>
      <c r="I531" s="217">
        <v>316554.36</v>
      </c>
      <c r="J531" s="170">
        <v>300000</v>
      </c>
      <c r="K531" s="170">
        <f t="shared" si="1731"/>
        <v>-2490.3699999999953</v>
      </c>
      <c r="L531" s="168">
        <f t="shared" si="1721"/>
        <v>-7.8057079958662708E-3</v>
      </c>
      <c r="M531" s="178">
        <f t="shared" ref="M531" si="1762">I531-J531</f>
        <v>16554.359999999986</v>
      </c>
      <c r="N531" s="180">
        <f t="shared" ref="N531" si="1763">M531/J531</f>
        <v>5.5181199999999951E-2</v>
      </c>
      <c r="O531" s="179">
        <f t="shared" si="1657"/>
        <v>2.4195598199279689E-2</v>
      </c>
      <c r="P531" s="178" t="b">
        <f t="shared" ref="P531" si="1764">L531&gt;D531</f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ref="S531" si="1765">I531-R531</f>
        <v>55800.81</v>
      </c>
      <c r="T531" s="170">
        <v>-39552</v>
      </c>
      <c r="U531" s="170">
        <f t="shared" ref="U531" si="1766">M531-T531</f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1202"/>
        <v>0.75912404209345974</v>
      </c>
      <c r="Y531" s="171">
        <f t="shared" si="1203"/>
        <v>8.2019161824576386E-2</v>
      </c>
      <c r="Z531" s="784">
        <f t="shared" si="1204"/>
        <v>-0.18215256457829954</v>
      </c>
    </row>
    <row r="532" spans="1:26" ht="20.100000000000001" customHeight="1" x14ac:dyDescent="0.25">
      <c r="A532" s="160">
        <f t="shared" si="1584"/>
        <v>834</v>
      </c>
      <c r="B532" s="169">
        <v>43067</v>
      </c>
      <c r="C532" s="211">
        <v>2627.04</v>
      </c>
      <c r="D532" s="168">
        <f t="shared" si="1727"/>
        <v>9.8484673755102562E-3</v>
      </c>
      <c r="E532" s="205">
        <f t="shared" ref="E532" si="1767">(C532-$C$2)/$C$2</f>
        <v>0.24951960579136617</v>
      </c>
      <c r="F532" s="215">
        <v>6912.35</v>
      </c>
      <c r="G532" s="168">
        <f t="shared" si="1729"/>
        <v>4.9182091496426444E-3</v>
      </c>
      <c r="H532" s="199">
        <f t="shared" ref="H532" si="1768">(F532-F$2)/F$2</f>
        <v>0.35757212718738351</v>
      </c>
      <c r="I532" s="217">
        <v>320874.51</v>
      </c>
      <c r="J532" s="170">
        <v>300000</v>
      </c>
      <c r="K532" s="170">
        <f t="shared" ref="K532" si="1769">I532-I531-J532+J531</f>
        <v>4320.1500000000233</v>
      </c>
      <c r="L532" s="168">
        <f t="shared" si="1721"/>
        <v>1.364741904044545E-2</v>
      </c>
      <c r="M532" s="178">
        <f t="shared" ref="M532" si="1770">I532-J532</f>
        <v>20874.510000000009</v>
      </c>
      <c r="N532" s="180">
        <f t="shared" ref="N532" si="1771">M532/J532</f>
        <v>6.9581700000000038E-2</v>
      </c>
      <c r="O532" s="179">
        <f t="shared" si="1657"/>
        <v>3.0473280485611525E-2</v>
      </c>
      <c r="P532" s="178" t="b">
        <f t="shared" ref="P532" si="1772">L532&gt;D532</f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ref="S532" si="1773">I532-R532</f>
        <v>55800.81</v>
      </c>
      <c r="T532" s="170">
        <v>-38368</v>
      </c>
      <c r="U532" s="170">
        <f t="shared" ref="U532" si="1774">M532-T532</f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1202"/>
        <v>0.79700489883934988</v>
      </c>
      <c r="Y532" s="171">
        <f t="shared" si="1203"/>
        <v>0.10334785812512559</v>
      </c>
      <c r="Z532" s="784">
        <f t="shared" si="1204"/>
        <v>-0.17993790579136615</v>
      </c>
    </row>
    <row r="533" spans="1:26" ht="20.100000000000001" customHeight="1" x14ac:dyDescent="0.25">
      <c r="A533" s="160">
        <f t="shared" si="1584"/>
        <v>835</v>
      </c>
      <c r="B533" s="169">
        <v>43068</v>
      </c>
      <c r="C533" s="211">
        <v>2626.07</v>
      </c>
      <c r="D533" s="168">
        <f t="shared" si="1727"/>
        <v>-3.6923685973559592E-4</v>
      </c>
      <c r="E533" s="205">
        <f t="shared" ref="E533" si="1775">(C533-$C$2)/$C$2</f>
        <v>0.24905823709594571</v>
      </c>
      <c r="F533" s="215">
        <v>6824.38</v>
      </c>
      <c r="G533" s="168">
        <f t="shared" si="1729"/>
        <v>-1.2726496777506962E-2</v>
      </c>
      <c r="H533" s="199">
        <f t="shared" ref="H533" si="1776">(F533-F$2)/F$2</f>
        <v>0.3402949898855</v>
      </c>
      <c r="I533" s="217">
        <v>325656.67</v>
      </c>
      <c r="J533" s="170">
        <v>300000</v>
      </c>
      <c r="K533" s="170">
        <f t="shared" ref="K533" si="1777">I533-I532-J533+J532</f>
        <v>4782.1599999999744</v>
      </c>
      <c r="L533" s="168">
        <f t="shared" si="1721"/>
        <v>1.4903521005766317E-2</v>
      </c>
      <c r="M533" s="178">
        <f t="shared" ref="M533" si="1778">I533-J533</f>
        <v>25656.669999999984</v>
      </c>
      <c r="N533" s="180">
        <f t="shared" ref="N533" si="1779">M533/J533</f>
        <v>8.5522233333333281E-2</v>
      </c>
      <c r="O533" s="179">
        <f t="shared" si="1657"/>
        <v>3.7409575718562849E-2</v>
      </c>
      <c r="P533" s="178" t="b">
        <f t="shared" ref="P533" si="1780">L533&gt;D533</f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ref="S533" si="1781">I533-R533</f>
        <v>72171.669999999984</v>
      </c>
      <c r="T533" s="170">
        <v>-37392</v>
      </c>
      <c r="U533" s="170">
        <f t="shared" ref="U533" si="1782">M533-T533</f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1202"/>
        <v>0.79532227218054108</v>
      </c>
      <c r="Y533" s="171">
        <f t="shared" si="1203"/>
        <v>0.12691921480624277</v>
      </c>
      <c r="Z533" s="784">
        <f t="shared" si="1204"/>
        <v>-0.16353600376261243</v>
      </c>
    </row>
    <row r="534" spans="1:26" ht="20.100000000000001" customHeight="1" x14ac:dyDescent="0.25">
      <c r="A534" s="160">
        <f t="shared" si="1584"/>
        <v>836</v>
      </c>
      <c r="B534" s="169">
        <v>43069</v>
      </c>
      <c r="C534" s="211">
        <v>2647.58</v>
      </c>
      <c r="D534" s="168">
        <f t="shared" si="1727"/>
        <v>8.1909469282996118E-3</v>
      </c>
      <c r="E534" s="205">
        <f t="shared" ref="E534:E535" si="1783">(C534-$C$2)/$C$2</f>
        <v>0.25928920682635409</v>
      </c>
      <c r="F534" s="215">
        <v>6873.97</v>
      </c>
      <c r="G534" s="168">
        <f t="shared" si="1729"/>
        <v>7.2665941814494713E-3</v>
      </c>
      <c r="H534" s="199">
        <f t="shared" ref="H534:H535" si="1784">(F534-F$2)/F$2</f>
        <v>0.35003436966042784</v>
      </c>
      <c r="I534" s="462">
        <v>329885.27</v>
      </c>
      <c r="J534" s="170">
        <v>300000</v>
      </c>
      <c r="K534" s="170">
        <f t="shared" ref="K534:K535" si="1785">I534-I533-J534+J533</f>
        <v>4228.6000000000349</v>
      </c>
      <c r="L534" s="168">
        <f t="shared" si="1721"/>
        <v>1.2984840752686059E-2</v>
      </c>
      <c r="M534" s="462">
        <f t="shared" ref="M534:M535" si="1786">I534-J534</f>
        <v>29885.270000000019</v>
      </c>
      <c r="N534" s="180">
        <f t="shared" ref="N534:N535" si="1787">M534/J534</f>
        <v>9.9617566666666726E-2</v>
      </c>
      <c r="O534" s="179">
        <f t="shared" si="1657"/>
        <v>4.3523105532296678E-2</v>
      </c>
      <c r="P534" s="178" t="b">
        <f t="shared" ref="P534:P535" si="1788">L534&gt;D534</f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ref="S534:S535" si="1789">I534-R534</f>
        <v>94288.870000000024</v>
      </c>
      <c r="T534" s="170">
        <v>-34548</v>
      </c>
      <c r="U534" s="170">
        <f t="shared" ref="U534:U535" si="1790">M534-T534</f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1202"/>
        <v>0.82715682198575313</v>
      </c>
      <c r="Y534" s="171">
        <f t="shared" si="1203"/>
        <v>0.14773671864396828</v>
      </c>
      <c r="Z534" s="784">
        <f t="shared" si="1204"/>
        <v>-0.15967164015968738</v>
      </c>
    </row>
    <row r="535" spans="1:26" ht="20.100000000000001" customHeight="1" x14ac:dyDescent="0.25">
      <c r="A535" s="160">
        <f t="shared" si="1584"/>
        <v>837</v>
      </c>
      <c r="B535" s="169">
        <v>43070</v>
      </c>
      <c r="C535" s="211">
        <v>2642.22</v>
      </c>
      <c r="D535" s="168">
        <f t="shared" si="1727"/>
        <v>-2.0244902892453212E-3</v>
      </c>
      <c r="E535" s="205">
        <f t="shared" si="1783"/>
        <v>0.25673978805578268</v>
      </c>
      <c r="F535" s="215">
        <v>6847.58</v>
      </c>
      <c r="G535" s="168">
        <f t="shared" si="1729"/>
        <v>-3.839120624617263E-3</v>
      </c>
      <c r="H535" s="199">
        <f t="shared" si="1784"/>
        <v>0.34485142486792236</v>
      </c>
      <c r="I535" s="217">
        <v>330901.76000000001</v>
      </c>
      <c r="J535" s="170">
        <v>300000</v>
      </c>
      <c r="K535" s="170">
        <f t="shared" si="1785"/>
        <v>1016.4899999999907</v>
      </c>
      <c r="L535" s="168">
        <f t="shared" si="1721"/>
        <v>3.0813440078727695E-3</v>
      </c>
      <c r="M535" s="178">
        <f t="shared" si="1786"/>
        <v>30901.760000000009</v>
      </c>
      <c r="N535" s="180">
        <f t="shared" si="1787"/>
        <v>0.1030058666666667</v>
      </c>
      <c r="O535" s="179">
        <f t="shared" si="1657"/>
        <v>4.4949692712066919E-2</v>
      </c>
      <c r="P535" s="178" t="b">
        <f t="shared" si="1788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1789"/>
        <v>97384.360000000015</v>
      </c>
      <c r="T535" s="170">
        <v>-34852</v>
      </c>
      <c r="U535" s="170">
        <f t="shared" si="1790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1202"/>
        <v>0.81875098475480734</v>
      </c>
      <c r="Y535" s="171">
        <f t="shared" si="1203"/>
        <v>0.15272002675940854</v>
      </c>
      <c r="Z535" s="784">
        <f t="shared" si="1204"/>
        <v>-0.15373392138911599</v>
      </c>
    </row>
    <row r="536" spans="1:26" ht="20.100000000000001" customHeight="1" x14ac:dyDescent="0.25">
      <c r="A536" s="160">
        <f t="shared" si="1584"/>
        <v>840</v>
      </c>
      <c r="B536" s="169">
        <v>43073</v>
      </c>
      <c r="C536" s="211">
        <v>2639.44</v>
      </c>
      <c r="D536" s="168">
        <f t="shared" ref="D536" si="1791">(C536-C535)/C535</f>
        <v>-1.0521455442770646E-3</v>
      </c>
      <c r="E536" s="205">
        <f t="shared" ref="E536" si="1792">(C536-$C$2)/$C$2</f>
        <v>0.25541751488746406</v>
      </c>
      <c r="F536" s="215">
        <v>6775.36</v>
      </c>
      <c r="G536" s="168">
        <f t="shared" ref="G536" si="1793">(F536-F535)/F535</f>
        <v>-1.0546791713276845E-2</v>
      </c>
      <c r="H536" s="199">
        <f t="shared" ref="H536" si="1794">(F536-F$2)/F$2</f>
        <v>0.33066755700453676</v>
      </c>
      <c r="I536" s="217">
        <v>332631.36</v>
      </c>
      <c r="J536" s="170">
        <v>300000</v>
      </c>
      <c r="K536" s="170">
        <f t="shared" ref="K536" si="1795">I536-I535-J536+J535</f>
        <v>1729.5999999999767</v>
      </c>
      <c r="L536" s="168">
        <f t="shared" ref="L536" si="1796">K536/I535</f>
        <v>5.2269289833936717E-3</v>
      </c>
      <c r="M536" s="178">
        <f t="shared" ref="M536" si="1797">I536-J536</f>
        <v>32631.359999999986</v>
      </c>
      <c r="N536" s="180">
        <f t="shared" ref="N536" si="1798">M536/J536</f>
        <v>0.10877119999999996</v>
      </c>
      <c r="O536" s="179">
        <f t="shared" si="1657"/>
        <v>4.7296048571428558E-2</v>
      </c>
      <c r="P536" s="178" t="b">
        <f t="shared" ref="P536" si="1799">L536&gt;D536</f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ref="S536" si="1800">I536-R536</f>
        <v>97384.359999999986</v>
      </c>
      <c r="T536" s="170">
        <v>-32666</v>
      </c>
      <c r="U536" s="170">
        <f t="shared" ref="U536" si="1801">M536-T536</f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1202"/>
        <v>0.81236397927695847</v>
      </c>
      <c r="Y536" s="171">
        <f t="shared" si="1203"/>
        <v>0.16083314240177998</v>
      </c>
      <c r="Z536" s="784">
        <f t="shared" si="1204"/>
        <v>-0.1466463148874641</v>
      </c>
    </row>
    <row r="537" spans="1:26" ht="20.100000000000001" customHeight="1" x14ac:dyDescent="0.25">
      <c r="A537" s="160">
        <f t="shared" si="1584"/>
        <v>841</v>
      </c>
      <c r="B537" s="169">
        <v>43074</v>
      </c>
      <c r="C537" s="211">
        <v>2629.57</v>
      </c>
      <c r="D537" s="168">
        <f t="shared" ref="D537:D543" si="1802">(C537-C536)/C536</f>
        <v>-3.7394295759706191E-3</v>
      </c>
      <c r="E537" s="205">
        <f t="shared" ref="E537" si="1803">(C537-$C$2)/$C$2</f>
        <v>0.25072296950210238</v>
      </c>
      <c r="F537" s="215">
        <v>6762.21</v>
      </c>
      <c r="G537" s="168">
        <f t="shared" ref="G537:G543" si="1804">(F537-F536)/F536</f>
        <v>-1.9408562792234858E-3</v>
      </c>
      <c r="H537" s="199">
        <f t="shared" ref="H537:H542" si="1805">(F537-F$2)/F$2</f>
        <v>0.32808492252096555</v>
      </c>
      <c r="I537" s="217">
        <v>331089.06</v>
      </c>
      <c r="J537" s="170">
        <v>300000</v>
      </c>
      <c r="K537" s="170">
        <f t="shared" ref="K537:K542" si="1806">I537-I536-J537+J536</f>
        <v>-1542.2999999999884</v>
      </c>
      <c r="L537" s="168">
        <f t="shared" ref="L537:L542" si="1807">K537/I536</f>
        <v>-4.6366644443866884E-3</v>
      </c>
      <c r="M537" s="178">
        <f t="shared" ref="M537" si="1808">I537-J537</f>
        <v>31089.059999999998</v>
      </c>
      <c r="N537" s="180">
        <f t="shared" ref="N537" si="1809">M537/J537</f>
        <v>0.10363019999999999</v>
      </c>
      <c r="O537" s="179">
        <f t="shared" si="1657"/>
        <v>4.5007051783590962E-2</v>
      </c>
      <c r="P537" s="178" t="b">
        <f t="shared" ref="P537" si="1810">L537&gt;D537</f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ref="S537" si="1811">I537-R537</f>
        <v>97384.359999999986</v>
      </c>
      <c r="T537" s="170">
        <v>-33722</v>
      </c>
      <c r="U537" s="170">
        <f t="shared" ref="U537" si="1812">M537-T537</f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1202"/>
        <v>0.79705376061345667</v>
      </c>
      <c r="Y537" s="171">
        <f t="shared" si="1203"/>
        <v>0.15318166322183716</v>
      </c>
      <c r="Z537" s="784">
        <f t="shared" si="1204"/>
        <v>-0.14709276950210237</v>
      </c>
    </row>
    <row r="538" spans="1:26" ht="20.100000000000001" customHeight="1" x14ac:dyDescent="0.25">
      <c r="A538" s="160">
        <f t="shared" si="1584"/>
        <v>842</v>
      </c>
      <c r="B538" s="169">
        <v>43075</v>
      </c>
      <c r="C538" s="211">
        <v>2629.27</v>
      </c>
      <c r="D538" s="168">
        <f t="shared" si="1802"/>
        <v>-1.1408709408769566E-4</v>
      </c>
      <c r="E538" s="205">
        <f t="shared" ref="E538" si="1813">(C538-$C$2)/$C$2</f>
        <v>0.25058027815300316</v>
      </c>
      <c r="F538" s="215">
        <v>6776.37</v>
      </c>
      <c r="G538" s="168">
        <f t="shared" si="1804"/>
        <v>2.0939899825648499E-3</v>
      </c>
      <c r="H538" s="199">
        <f t="shared" si="1805"/>
        <v>0.33086591904471985</v>
      </c>
      <c r="I538" s="217">
        <v>327613.65999999997</v>
      </c>
      <c r="J538" s="170">
        <v>300000</v>
      </c>
      <c r="K538" s="170">
        <f t="shared" si="1806"/>
        <v>-3475.4000000000233</v>
      </c>
      <c r="L538" s="168">
        <f t="shared" si="1807"/>
        <v>-1.0496873560243952E-2</v>
      </c>
      <c r="M538" s="178">
        <f t="shared" ref="M538" si="1814">I538-J538</f>
        <v>27613.659999999974</v>
      </c>
      <c r="N538" s="180">
        <f t="shared" ref="N538" si="1815">M538/J538</f>
        <v>9.2045533333333249E-2</v>
      </c>
      <c r="O538" s="179">
        <f t="shared" si="1657"/>
        <v>3.9928302909738686E-2</v>
      </c>
      <c r="P538" s="178" t="b">
        <f t="shared" ref="P538" si="1816">L538&gt;D538</f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ref="U538:U540" si="1817">M538-T538</f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1202"/>
        <v>0.79639545042503435</v>
      </c>
      <c r="Y538" s="171">
        <f t="shared" si="1203"/>
        <v>0.13597837509474753</v>
      </c>
      <c r="Z538" s="784">
        <f t="shared" si="1204"/>
        <v>-0.15853474481966989</v>
      </c>
    </row>
    <row r="539" spans="1:26" ht="20.100000000000001" customHeight="1" x14ac:dyDescent="0.25">
      <c r="A539" s="160">
        <f t="shared" si="1584"/>
        <v>843</v>
      </c>
      <c r="B539" s="169">
        <v>43076</v>
      </c>
      <c r="C539" s="211">
        <v>2636.98</v>
      </c>
      <c r="D539" s="168">
        <f t="shared" si="1802"/>
        <v>2.9323728639508444E-3</v>
      </c>
      <c r="E539" s="205">
        <f t="shared" ref="E539" si="1818">(C539-$C$2)/$C$2</f>
        <v>0.25424744582485109</v>
      </c>
      <c r="F539" s="215">
        <v>6812.84</v>
      </c>
      <c r="G539" s="168">
        <f t="shared" si="1804"/>
        <v>5.3819375270240935E-3</v>
      </c>
      <c r="H539" s="199">
        <f t="shared" si="1805"/>
        <v>0.33802855627786405</v>
      </c>
      <c r="I539" s="217">
        <v>319288.36</v>
      </c>
      <c r="J539" s="170">
        <v>290000</v>
      </c>
      <c r="K539" s="170">
        <f t="shared" si="1806"/>
        <v>1674.7000000000116</v>
      </c>
      <c r="L539" s="168">
        <f t="shared" si="1807"/>
        <v>5.111813713750555E-3</v>
      </c>
      <c r="M539" s="178">
        <f t="shared" ref="M539" si="1819">I539-J539</f>
        <v>29288.359999999986</v>
      </c>
      <c r="N539" s="180">
        <f t="shared" ref="N539" si="1820">M539/J539</f>
        <v>0.10099434482758615</v>
      </c>
      <c r="O539" s="179">
        <f t="shared" si="1657"/>
        <v>4.3758225917290443E-2</v>
      </c>
      <c r="P539" s="178" t="b">
        <f t="shared" ref="P539" si="1821">L539&gt;D539</f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" si="1822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1823">E539/(A539/365.25)/V539</f>
        <v>0.80778325531765738</v>
      </c>
      <c r="Y539" s="171">
        <f t="shared" ref="Y539:Y564" si="1824">O539/W539</f>
        <v>0.14915193875389643</v>
      </c>
      <c r="Z539" s="784">
        <f t="shared" ref="Z539:Z583" si="1825">-(E539-N539)</f>
        <v>-0.15325310099726494</v>
      </c>
    </row>
    <row r="540" spans="1:26" ht="20.100000000000001" customHeight="1" x14ac:dyDescent="0.25">
      <c r="A540" s="160">
        <f t="shared" si="1584"/>
        <v>844</v>
      </c>
      <c r="B540" s="169">
        <v>43077</v>
      </c>
      <c r="C540" s="211">
        <v>2651.5</v>
      </c>
      <c r="D540" s="168">
        <f t="shared" si="1802"/>
        <v>5.5062988721947008E-3</v>
      </c>
      <c r="E540" s="205">
        <f t="shared" ref="E540" si="1826">(C540-$C$2)/$C$2</f>
        <v>0.26115370712124958</v>
      </c>
      <c r="F540" s="215">
        <v>6840.8</v>
      </c>
      <c r="G540" s="168">
        <f t="shared" si="1804"/>
        <v>4.1040153592334528E-3</v>
      </c>
      <c r="H540" s="199">
        <f t="shared" si="1805"/>
        <v>0.34351984602392138</v>
      </c>
      <c r="I540" s="217">
        <v>322861.36</v>
      </c>
      <c r="J540" s="170">
        <v>290000</v>
      </c>
      <c r="K540" s="170">
        <f t="shared" si="1806"/>
        <v>3573</v>
      </c>
      <c r="L540" s="168">
        <f t="shared" si="1807"/>
        <v>1.1190511298313537E-2</v>
      </c>
      <c r="M540" s="178">
        <f t="shared" ref="M540" si="1827">I540-J540</f>
        <v>32861.359999999986</v>
      </c>
      <c r="N540" s="180">
        <f t="shared" ref="N540" si="1828">M540/J540</f>
        <v>0.11331503448275858</v>
      </c>
      <c r="O540" s="179">
        <f t="shared" si="1657"/>
        <v>4.9038289508089535E-2</v>
      </c>
      <c r="P540" s="178" t="b">
        <f t="shared" ref="P540" si="1829">L540&gt;D540</f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ref="S540" si="1830">I540-R540</f>
        <v>87384.359999999986</v>
      </c>
      <c r="T540" s="170">
        <v>-32986</v>
      </c>
      <c r="U540" s="170">
        <f t="shared" si="1817"/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1823"/>
        <v>0.8292486213606497</v>
      </c>
      <c r="Y540" s="171">
        <f t="shared" si="1824"/>
        <v>0.16725300613281655</v>
      </c>
      <c r="Z540" s="784">
        <f t="shared" si="1825"/>
        <v>-0.14783867263849099</v>
      </c>
    </row>
    <row r="541" spans="1:26" ht="20.100000000000001" customHeight="1" x14ac:dyDescent="0.25">
      <c r="A541" s="160">
        <f t="shared" si="1584"/>
        <v>847</v>
      </c>
      <c r="B541" s="169">
        <v>43080</v>
      </c>
      <c r="C541" s="211">
        <v>2659.99</v>
      </c>
      <c r="D541" s="168">
        <f t="shared" si="1802"/>
        <v>3.2019611540636552E-3</v>
      </c>
      <c r="E541" s="205">
        <f t="shared" ref="E541" si="1831">(C541-$C$2)/$C$2</f>
        <v>0.26519187230075519</v>
      </c>
      <c r="F541" s="215">
        <v>6875.07</v>
      </c>
      <c r="G541" s="168">
        <f t="shared" si="1804"/>
        <v>5.0096479943865522E-3</v>
      </c>
      <c r="H541" s="199">
        <f t="shared" si="1805"/>
        <v>0.35025040752597364</v>
      </c>
      <c r="I541" s="217">
        <v>322942.15999999997</v>
      </c>
      <c r="J541" s="170">
        <v>290000</v>
      </c>
      <c r="K541" s="170">
        <f t="shared" si="1806"/>
        <v>80.799999999988358</v>
      </c>
      <c r="L541" s="168">
        <f t="shared" si="1807"/>
        <v>2.5026221781382683E-4</v>
      </c>
      <c r="M541" s="178">
        <f t="shared" ref="M541" si="1832">I541-J541</f>
        <v>32942.159999999974</v>
      </c>
      <c r="N541" s="180">
        <f t="shared" ref="N541" si="1833">M541/J541</f>
        <v>0.11359365517241371</v>
      </c>
      <c r="O541" s="179">
        <f t="shared" si="1657"/>
        <v>4.8984749175589266E-2</v>
      </c>
      <c r="P541" s="178" t="b">
        <f t="shared" ref="P541" si="1834">L541&gt;D541</f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ref="S541" si="1835">I541-R541</f>
        <v>87384.359999999986</v>
      </c>
      <c r="T541" s="170">
        <v>-32985</v>
      </c>
      <c r="U541" s="170">
        <f t="shared" ref="U541" si="1836">M541-T541</f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1823"/>
        <v>0.83979035103909305</v>
      </c>
      <c r="Y541" s="171">
        <f t="shared" si="1824"/>
        <v>0.16722585233838994</v>
      </c>
      <c r="Z541" s="784">
        <f t="shared" si="1825"/>
        <v>-0.15159821712834148</v>
      </c>
    </row>
    <row r="542" spans="1:26" ht="20.100000000000001" customHeight="1" x14ac:dyDescent="0.25">
      <c r="A542" s="160">
        <f t="shared" si="1584"/>
        <v>848</v>
      </c>
      <c r="B542" s="169">
        <v>43081</v>
      </c>
      <c r="C542" s="211">
        <v>2664.11</v>
      </c>
      <c r="D542" s="168">
        <f t="shared" si="1802"/>
        <v>1.5488780033008943E-3</v>
      </c>
      <c r="E542" s="205">
        <f t="shared" ref="E542" si="1837">(C542-$C$2)/$C$2</f>
        <v>0.2671515001617169</v>
      </c>
      <c r="F542" s="215">
        <v>6862.31</v>
      </c>
      <c r="G542" s="168">
        <f t="shared" si="1804"/>
        <v>-1.8559811027377626E-3</v>
      </c>
      <c r="H542" s="199">
        <f t="shared" si="1805"/>
        <v>0.34774436828564148</v>
      </c>
      <c r="I542" s="217">
        <v>323980.06</v>
      </c>
      <c r="J542" s="170">
        <v>290000</v>
      </c>
      <c r="K542" s="170">
        <f t="shared" si="1806"/>
        <v>1037.9000000000233</v>
      </c>
      <c r="L542" s="168">
        <f t="shared" si="1807"/>
        <v>3.2138882083405382E-3</v>
      </c>
      <c r="M542" s="178">
        <f t="shared" ref="M542" si="1838">I542-J542</f>
        <v>33980.06</v>
      </c>
      <c r="N542" s="180">
        <f t="shared" ref="N542" si="1839">M542/J542</f>
        <v>0.11717262068965516</v>
      </c>
      <c r="O542" s="179">
        <f t="shared" si="1657"/>
        <v>5.0468513805302533E-2</v>
      </c>
      <c r="P542" s="178" t="b">
        <f t="shared" ref="P542" si="1840">L542&gt;D542</f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ref="S542" si="1841">I542-R542</f>
        <v>87700.359999999986</v>
      </c>
      <c r="T542" s="170">
        <v>-33546</v>
      </c>
      <c r="U542" s="170">
        <f t="shared" ref="U542" si="1842">M542-T542</f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1823"/>
        <v>0.84577093339667508</v>
      </c>
      <c r="Y542" s="171">
        <f t="shared" si="1824"/>
        <v>0.17244781040233489</v>
      </c>
      <c r="Z542" s="784">
        <f t="shared" si="1825"/>
        <v>-0.14997887947206173</v>
      </c>
    </row>
    <row r="543" spans="1:26" ht="20.100000000000001" customHeight="1" x14ac:dyDescent="0.25">
      <c r="A543" s="160">
        <f t="shared" si="1584"/>
        <v>849</v>
      </c>
      <c r="B543" s="169">
        <v>43082</v>
      </c>
      <c r="C543" s="211">
        <v>2662.85</v>
      </c>
      <c r="D543" s="168">
        <f t="shared" si="1802"/>
        <v>-4.7295344411462672E-4</v>
      </c>
      <c r="E543" s="205">
        <f t="shared" ref="E543" si="1843">(C543-$C$2)/$C$2</f>
        <v>0.26655219649550038</v>
      </c>
      <c r="F543" s="215">
        <v>6875.79</v>
      </c>
      <c r="G543" s="168">
        <f t="shared" si="1804"/>
        <v>1.9643531114157714E-3</v>
      </c>
      <c r="H543" s="199">
        <f t="shared" ref="H543" si="1844">(F543-F$2)/F$2</f>
        <v>0.35039181412887643</v>
      </c>
      <c r="I543" s="217">
        <v>324790.59000000003</v>
      </c>
      <c r="J543" s="170">
        <v>290000</v>
      </c>
      <c r="K543" s="170">
        <f t="shared" ref="K543" si="1845">I543-I542-J543+J542</f>
        <v>810.53000000002794</v>
      </c>
      <c r="L543" s="168">
        <f t="shared" ref="L543" si="1846">K543/I542</f>
        <v>2.5017897706421438E-3</v>
      </c>
      <c r="M543" s="178">
        <f t="shared" ref="M543" si="1847">I543-J543</f>
        <v>34790.590000000026</v>
      </c>
      <c r="N543" s="180">
        <f t="shared" ref="N543" si="1848">M543/J543</f>
        <v>0.11996755172413802</v>
      </c>
      <c r="O543" s="179">
        <f t="shared" si="1657"/>
        <v>5.1611482057999307E-2</v>
      </c>
      <c r="P543" s="178" t="b">
        <f t="shared" ref="P543" si="1849">L543&gt;D543</f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ref="S543" si="1850">I543-R543</f>
        <v>87800.590000000026</v>
      </c>
      <c r="T543" s="170">
        <v>-32970</v>
      </c>
      <c r="U543" s="170">
        <f t="shared" ref="U543" si="1851">M543-T543</f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1823"/>
        <v>0.84365161493454932</v>
      </c>
      <c r="Y543" s="171">
        <f t="shared" si="1824"/>
        <v>0.17651489494258057</v>
      </c>
      <c r="Z543" s="784">
        <f t="shared" si="1825"/>
        <v>-0.14658464477136235</v>
      </c>
    </row>
    <row r="544" spans="1:26" ht="20.100000000000001" customHeight="1" x14ac:dyDescent="0.25">
      <c r="A544" s="160">
        <f t="shared" si="1584"/>
        <v>850</v>
      </c>
      <c r="B544" s="169">
        <v>43083</v>
      </c>
      <c r="C544" s="211">
        <v>2652.01</v>
      </c>
      <c r="D544" s="168">
        <f t="shared" ref="D544" si="1852">(C544-C543)/C543</f>
        <v>-4.070826370242293E-3</v>
      </c>
      <c r="E544" s="205">
        <f t="shared" ref="E544" si="1853">(C544-$C$2)/$C$2</f>
        <v>0.26139628241471818</v>
      </c>
      <c r="F544" s="215">
        <v>6856.52</v>
      </c>
      <c r="G544" s="168">
        <f t="shared" ref="G544" si="1854">(F544-F543)/F543</f>
        <v>-2.8025870481791222E-3</v>
      </c>
      <c r="H544" s="199">
        <f t="shared" ref="H544" si="1855">(F544-F$2)/F$2</f>
        <v>0.34660722352063172</v>
      </c>
      <c r="I544" s="217">
        <v>322223.39</v>
      </c>
      <c r="J544" s="170">
        <v>290000</v>
      </c>
      <c r="K544" s="170">
        <f t="shared" ref="K544" si="1856">I544-I543-J544+J543</f>
        <v>-2567.2000000000116</v>
      </c>
      <c r="L544" s="168">
        <f t="shared" ref="L544" si="1857">K544/I543</f>
        <v>-7.9041698837395858E-3</v>
      </c>
      <c r="M544" s="178">
        <f t="shared" ref="M544" si="1858">I544-J544</f>
        <v>32223.390000000014</v>
      </c>
      <c r="N544" s="180">
        <f t="shared" ref="N544" si="1859">M544/J544</f>
        <v>0.11111513793103453</v>
      </c>
      <c r="O544" s="179">
        <f t="shared" si="1657"/>
        <v>4.7746828387423952E-2</v>
      </c>
      <c r="P544" s="178" t="b">
        <f t="shared" ref="P544" si="1860">L544&gt;D544</f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ref="S544" si="1861">I544-R544</f>
        <v>87800.590000000026</v>
      </c>
      <c r="T544" s="170">
        <v>-34234</v>
      </c>
      <c r="U544" s="170">
        <f t="shared" ref="U544" si="1862">M544-T544</f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1823"/>
        <v>0.82690911411066492</v>
      </c>
      <c r="Y544" s="171">
        <f t="shared" si="1824"/>
        <v>0.163417007006146</v>
      </c>
      <c r="Z544" s="784">
        <f t="shared" si="1825"/>
        <v>-0.15028114448368365</v>
      </c>
    </row>
    <row r="545" spans="1:26" ht="20.100000000000001" customHeight="1" x14ac:dyDescent="0.25">
      <c r="A545" s="160">
        <f t="shared" si="1584"/>
        <v>851</v>
      </c>
      <c r="B545" s="169">
        <v>43084</v>
      </c>
      <c r="C545" s="211">
        <v>2675.81</v>
      </c>
      <c r="D545" s="168">
        <f t="shared" ref="D545" si="1863">(C545-C544)/C544</f>
        <v>8.9743251345205059E-3</v>
      </c>
      <c r="E545" s="205">
        <f t="shared" ref="E545" si="1864">(C545-$C$2)/$C$2</f>
        <v>0.27271646277658335</v>
      </c>
      <c r="F545" s="215">
        <v>6936.58</v>
      </c>
      <c r="G545" s="168">
        <f t="shared" ref="G545" si="1865">(F545-F544)/F544</f>
        <v>1.1676477280019526E-2</v>
      </c>
      <c r="H545" s="199">
        <f t="shared" ref="H545" si="1866">(F545-F$2)/F$2</f>
        <v>0.36233085217118061</v>
      </c>
      <c r="I545" s="217">
        <v>323833.19</v>
      </c>
      <c r="J545" s="170">
        <v>290000</v>
      </c>
      <c r="K545" s="170">
        <f t="shared" ref="K545" si="1867">I545-I544-J545+J544</f>
        <v>1609.7999999999884</v>
      </c>
      <c r="L545" s="168">
        <f t="shared" ref="L545" si="1868">K545/I544</f>
        <v>4.9959129286051779E-3</v>
      </c>
      <c r="M545" s="178">
        <f t="shared" ref="M545" si="1869">I545-J545</f>
        <v>33833.19</v>
      </c>
      <c r="N545" s="180">
        <f t="shared" ref="N545" si="1870">M545/J545</f>
        <v>0.11666617241379311</v>
      </c>
      <c r="O545" s="179">
        <f t="shared" si="1657"/>
        <v>5.0073230874427652E-2</v>
      </c>
      <c r="P545" s="178" t="b">
        <f t="shared" ref="P545" si="1871">L545&gt;D545</f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ref="S545" si="1872">I545-R545</f>
        <v>87800.59</v>
      </c>
      <c r="T545" s="170">
        <v>-33354</v>
      </c>
      <c r="U545" s="170">
        <f t="shared" ref="U545" si="1873">M545-T545</f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1823"/>
        <v>0.86171620367547019</v>
      </c>
      <c r="Y545" s="171">
        <f t="shared" si="1824"/>
        <v>0.17152820819249553</v>
      </c>
      <c r="Z545" s="784">
        <f t="shared" si="1825"/>
        <v>-0.15605029036279022</v>
      </c>
    </row>
    <row r="546" spans="1:26" ht="20.100000000000001" customHeight="1" x14ac:dyDescent="0.25">
      <c r="A546" s="160">
        <f t="shared" si="1584"/>
        <v>854</v>
      </c>
      <c r="B546" s="169">
        <v>43087</v>
      </c>
      <c r="C546" s="211">
        <v>2690.16</v>
      </c>
      <c r="D546" s="168">
        <f t="shared" ref="D546" si="1874">(C546-C545)/C545</f>
        <v>5.3628620866204664E-3</v>
      </c>
      <c r="E546" s="205">
        <f t="shared" ref="E546" si="1875">(C546-$C$2)/$C$2</f>
        <v>0.27954186564182559</v>
      </c>
      <c r="F546" s="215">
        <v>6994.75</v>
      </c>
      <c r="G546" s="168">
        <f t="shared" ref="G546" si="1876">(F546-F545)/F545</f>
        <v>8.3859769511776799E-3</v>
      </c>
      <c r="H546" s="199">
        <f t="shared" ref="H546" si="1877">(F546-F$2)/F$2</f>
        <v>0.37375532729736632</v>
      </c>
      <c r="I546" s="217">
        <v>328097.89</v>
      </c>
      <c r="J546" s="170">
        <v>290000</v>
      </c>
      <c r="K546" s="170">
        <f t="shared" ref="K546" si="1878">I546-I545-J546+J545</f>
        <v>4264.7000000000116</v>
      </c>
      <c r="L546" s="168">
        <f t="shared" ref="L546" si="1879">K546/I545</f>
        <v>1.3169434547459486E-2</v>
      </c>
      <c r="M546" s="178">
        <f t="shared" ref="M546" si="1880">I546-J546</f>
        <v>38097.890000000014</v>
      </c>
      <c r="N546" s="180">
        <f t="shared" ref="N546" si="1881">M546/J546</f>
        <v>0.13137203448275867</v>
      </c>
      <c r="O546" s="179">
        <f t="shared" si="1657"/>
        <v>5.6186926926027642E-2</v>
      </c>
      <c r="P546" s="178" t="b">
        <f t="shared" ref="P546" si="1882">L546&gt;D546</f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ref="S546" si="1883">I546-R546</f>
        <v>96680.390000000014</v>
      </c>
      <c r="T546" s="170">
        <v>-32394</v>
      </c>
      <c r="U546" s="170">
        <f t="shared" ref="U546" si="1884">M546-T546</f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1823"/>
        <v>0.88072753881887378</v>
      </c>
      <c r="Y546" s="171">
        <f t="shared" si="1824"/>
        <v>0.19256453401966658</v>
      </c>
      <c r="Z546" s="784">
        <f t="shared" si="1825"/>
        <v>-0.14816983115906693</v>
      </c>
    </row>
    <row r="547" spans="1:26" ht="20.100000000000001" customHeight="1" x14ac:dyDescent="0.25">
      <c r="A547" s="160">
        <f t="shared" ref="A547" si="1885">B547-$B$2</f>
        <v>855</v>
      </c>
      <c r="B547" s="169">
        <v>43088</v>
      </c>
      <c r="C547" s="211">
        <v>2681.47</v>
      </c>
      <c r="D547" s="168">
        <f t="shared" ref="D547" si="1886">(C547-C546)/C546</f>
        <v>-3.2302911350997913E-3</v>
      </c>
      <c r="E547" s="205">
        <f t="shared" ref="E547" si="1887">(C547-$C$2)/$C$2</f>
        <v>0.27540857289625376</v>
      </c>
      <c r="F547" s="215">
        <v>6963.85</v>
      </c>
      <c r="G547" s="168">
        <f t="shared" ref="G547" si="1888">(F547-F546)/F546</f>
        <v>-4.4175989134707652E-3</v>
      </c>
      <c r="H547" s="199">
        <f t="shared" ref="H547" si="1889">(F547-F$2)/F$2</f>
        <v>0.36768662725612283</v>
      </c>
      <c r="I547" s="217">
        <v>330798.90000000002</v>
      </c>
      <c r="J547" s="170">
        <v>290000</v>
      </c>
      <c r="K547" s="170">
        <f t="shared" ref="K547" si="1890">I547-I546-J547+J546</f>
        <v>2701.0100000000093</v>
      </c>
      <c r="L547" s="168">
        <f t="shared" ref="L547" si="1891">K547/I546</f>
        <v>8.2323296867285838E-3</v>
      </c>
      <c r="M547" s="178">
        <f t="shared" ref="M547" si="1892">I547-J547</f>
        <v>40798.900000000023</v>
      </c>
      <c r="N547" s="180">
        <f t="shared" ref="N547" si="1893">M547/J547</f>
        <v>0.14068586206896561</v>
      </c>
      <c r="O547" s="179">
        <f t="shared" ref="O547" si="1894">N547/(A547/365.25)</f>
        <v>6.0100013006654608E-2</v>
      </c>
      <c r="P547" s="178" t="b">
        <f t="shared" ref="P547" si="1895">L547&gt;D547</f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ref="S547" si="1896">I547-R547</f>
        <v>98278.350000000035</v>
      </c>
      <c r="T547" s="170">
        <v>-32544</v>
      </c>
      <c r="U547" s="170">
        <f t="shared" ref="U547" si="1897">M547-T547</f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1823"/>
        <v>0.86733713178540173</v>
      </c>
      <c r="Y547" s="171">
        <f t="shared" si="1824"/>
        <v>0.2061319214505424</v>
      </c>
      <c r="Z547" s="784">
        <f t="shared" si="1825"/>
        <v>-0.13472271082728815</v>
      </c>
    </row>
    <row r="548" spans="1:26" ht="20.100000000000001" customHeight="1" x14ac:dyDescent="0.25">
      <c r="A548" s="160">
        <f t="shared" ref="A548" si="1898">B548-$B$2</f>
        <v>856</v>
      </c>
      <c r="B548" s="169">
        <v>43089</v>
      </c>
      <c r="C548" s="211">
        <v>2679.25</v>
      </c>
      <c r="D548" s="168">
        <f t="shared" ref="D548" si="1899">(C548-C547)/C547</f>
        <v>-8.2790409737934793E-4</v>
      </c>
      <c r="E548" s="205">
        <f t="shared" ref="E548" si="1900">(C548-$C$2)/$C$2</f>
        <v>0.27435265691292021</v>
      </c>
      <c r="F548" s="215">
        <v>6960.95</v>
      </c>
      <c r="G548" s="168">
        <f t="shared" ref="G548" si="1901">(F548-F547)/F547</f>
        <v>-4.1643631037436841E-4</v>
      </c>
      <c r="H548" s="199">
        <f t="shared" ref="H548" si="1902">(F548-F$2)/F$2</f>
        <v>0.36711707288331991</v>
      </c>
      <c r="I548" s="217">
        <v>332590.03999999998</v>
      </c>
      <c r="J548" s="170">
        <v>290000</v>
      </c>
      <c r="K548" s="170">
        <f t="shared" ref="K548" si="1903">I548-I547-J548+J547</f>
        <v>1791.1399999999558</v>
      </c>
      <c r="L548" s="168">
        <f t="shared" ref="L548" si="1904">K548/I547</f>
        <v>5.414588742586374E-3</v>
      </c>
      <c r="M548" s="178">
        <f t="shared" ref="M548" si="1905">I548-J548</f>
        <v>42590.039999999979</v>
      </c>
      <c r="N548" s="180">
        <f t="shared" ref="N548" si="1906">M548/J548</f>
        <v>0.14686220689655166</v>
      </c>
      <c r="O548" s="179">
        <f t="shared" ref="O548" si="1907">N548/(A548/365.25)</f>
        <v>6.2665211529165307E-2</v>
      </c>
      <c r="P548" s="178" t="b">
        <f t="shared" ref="P548" si="1908">L548&gt;D548</f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ref="S548" si="1909">I548-R548</f>
        <v>98747.039999999979</v>
      </c>
      <c r="T548" s="170">
        <v>-31989</v>
      </c>
      <c r="U548" s="170">
        <f t="shared" ref="U548" si="1910">M548-T548</f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1823"/>
        <v>0.86377659418286634</v>
      </c>
      <c r="Y548" s="171">
        <f t="shared" si="1824"/>
        <v>0.21511372114444255</v>
      </c>
      <c r="Z548" s="784">
        <f t="shared" si="1825"/>
        <v>-0.12749045001636855</v>
      </c>
    </row>
    <row r="549" spans="1:26" ht="20.100000000000001" customHeight="1" x14ac:dyDescent="0.25">
      <c r="A549" s="160">
        <f t="shared" ref="A549" si="1911">B549-$B$2</f>
        <v>857</v>
      </c>
      <c r="B549" s="169">
        <v>43090</v>
      </c>
      <c r="C549" s="211">
        <v>2684.59</v>
      </c>
      <c r="D549" s="168">
        <f t="shared" ref="D549" si="1912">(C549-C548)/C548</f>
        <v>1.9930950825791344E-3</v>
      </c>
      <c r="E549" s="205">
        <f t="shared" ref="E549" si="1913">(C549-$C$2)/$C$2</f>
        <v>0.27689256292688497</v>
      </c>
      <c r="F549" s="215">
        <v>6965.36</v>
      </c>
      <c r="G549" s="168">
        <f t="shared" ref="G549" si="1914">(F549-F548)/F548</f>
        <v>6.3353421587568576E-4</v>
      </c>
      <c r="H549" s="199">
        <f t="shared" ref="H549" si="1915">(F549-F$2)/F$2</f>
        <v>0.36798318832609933</v>
      </c>
      <c r="I549" s="217">
        <v>338086.81</v>
      </c>
      <c r="J549" s="170">
        <v>290000</v>
      </c>
      <c r="K549" s="170">
        <f t="shared" ref="K549" si="1916">I549-I548-J549+J548</f>
        <v>5496.7700000000186</v>
      </c>
      <c r="L549" s="168">
        <f t="shared" ref="L549" si="1917">K549/I548</f>
        <v>1.6527163591549581E-2</v>
      </c>
      <c r="M549" s="178">
        <f t="shared" ref="M549" si="1918">I549-J549</f>
        <v>48086.81</v>
      </c>
      <c r="N549" s="180">
        <f t="shared" ref="N549" si="1919">M549/J549</f>
        <v>0.16581658620689654</v>
      </c>
      <c r="O549" s="179">
        <f t="shared" ref="O549" si="1920">N549/(A549/365.25)</f>
        <v>7.0670371192612547E-2</v>
      </c>
      <c r="P549" s="178" t="b">
        <f t="shared" ref="P549" si="1921">L549&gt;D549</f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ref="S549" si="1922">I549-R549</f>
        <v>119787.66</v>
      </c>
      <c r="T549" s="170">
        <v>-31667</v>
      </c>
      <c r="U549" s="170">
        <f t="shared" ref="U549" si="1923">M549-T549</f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1823"/>
        <v>0.87152947714801032</v>
      </c>
      <c r="Y549" s="171">
        <f t="shared" si="1824"/>
        <v>0.24264778543087354</v>
      </c>
      <c r="Z549" s="784">
        <f t="shared" si="1825"/>
        <v>-0.11107597671998842</v>
      </c>
    </row>
    <row r="550" spans="1:26" ht="20.100000000000001" customHeight="1" x14ac:dyDescent="0.25">
      <c r="A550" s="160">
        <f t="shared" ref="A550" si="1924">B550-$B$2</f>
        <v>858</v>
      </c>
      <c r="B550" s="169">
        <v>43091</v>
      </c>
      <c r="C550" s="211">
        <f>C551+0.84</f>
        <v>2681.34</v>
      </c>
      <c r="D550" s="168">
        <f t="shared" ref="D550" si="1925">(C550-C549)/C549</f>
        <v>-1.2106131662562999E-3</v>
      </c>
      <c r="E550" s="205">
        <f t="shared" ref="E550" si="1926">(C550-$C$2)/$C$2</f>
        <v>0.27534673997831094</v>
      </c>
      <c r="F550" s="215">
        <f>F551+23.71</f>
        <v>6960.95</v>
      </c>
      <c r="G550" s="168">
        <f t="shared" ref="G550" si="1927">(F550-F549)/F549</f>
        <v>-6.3313310439085059E-4</v>
      </c>
      <c r="H550" s="199">
        <f t="shared" ref="H550" si="1928">(F550-F$2)/F$2</f>
        <v>0.36711707288331991</v>
      </c>
      <c r="I550" s="217">
        <f>I551-1562</f>
        <v>338627.13</v>
      </c>
      <c r="J550" s="170">
        <v>290000</v>
      </c>
      <c r="K550" s="170">
        <f t="shared" ref="K550" si="1929">I550-I549-J550+J549</f>
        <v>540.32000000000698</v>
      </c>
      <c r="L550" s="168">
        <f t="shared" ref="L550" si="1930">K550/I549</f>
        <v>1.5981694169021471E-3</v>
      </c>
      <c r="M550" s="178">
        <f t="shared" ref="M550" si="1931">I550-J550</f>
        <v>48627.130000000005</v>
      </c>
      <c r="N550" s="180">
        <f t="shared" ref="N550" si="1932">M550/J550</f>
        <v>0.16767975862068968</v>
      </c>
      <c r="O550" s="179">
        <f t="shared" ref="O550" si="1933">N550/(A550/365.25)</f>
        <v>7.1381155986255135E-2</v>
      </c>
      <c r="P550" s="178" t="b">
        <f t="shared" ref="P550" si="1934">L550&gt;D550</f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1823"/>
        <v>0.86641497686755109</v>
      </c>
      <c r="Y550" s="171">
        <f t="shared" si="1824"/>
        <v>0.24531194081878024</v>
      </c>
      <c r="Z550" s="784">
        <f t="shared" si="1825"/>
        <v>-0.10766698135762126</v>
      </c>
    </row>
    <row r="551" spans="1:26" ht="20.100000000000001" customHeight="1" x14ac:dyDescent="0.25">
      <c r="A551" s="160">
        <f t="shared" ref="A551" si="1935">B551-$B$2</f>
        <v>862</v>
      </c>
      <c r="B551" s="169">
        <v>43095</v>
      </c>
      <c r="C551" s="211">
        <v>2680.5</v>
      </c>
      <c r="D551" s="168">
        <f t="shared" ref="D551" si="1936">(C551-C550)/C550</f>
        <v>-3.1327619772208878E-4</v>
      </c>
      <c r="E551" s="205">
        <f t="shared" ref="E551" si="1937">(C551-$C$2)/$C$2</f>
        <v>0.2749472042008333</v>
      </c>
      <c r="F551" s="215">
        <v>6937.24</v>
      </c>
      <c r="G551" s="168">
        <f t="shared" ref="G551" si="1938">(F551-F550)/F550</f>
        <v>-3.406144276284133E-3</v>
      </c>
      <c r="H551" s="199">
        <f t="shared" ref="H551" si="1939">(F551-F$2)/F$2</f>
        <v>0.36246047489050809</v>
      </c>
      <c r="I551" s="217">
        <v>340189.13</v>
      </c>
      <c r="J551" s="170">
        <v>290000</v>
      </c>
      <c r="K551" s="170">
        <f t="shared" ref="K551" si="1940">I551-I550-J551+J550</f>
        <v>1562</v>
      </c>
      <c r="L551" s="168">
        <f t="shared" ref="L551" si="1941">K551/I550</f>
        <v>4.6127432258602549E-3</v>
      </c>
      <c r="M551" s="178">
        <f t="shared" ref="M551" si="1942">I551-J551</f>
        <v>50189.130000000005</v>
      </c>
      <c r="N551" s="180">
        <f t="shared" ref="N551" si="1943">M551/J551</f>
        <v>0.1730659655172414</v>
      </c>
      <c r="O551" s="179">
        <f t="shared" ref="O551" si="1944">N551/(A551/365.25)</f>
        <v>7.33321855048404E-2</v>
      </c>
      <c r="P551" s="178" t="b">
        <f t="shared" ref="P551" si="1945">L551&gt;D551</f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" si="1946">I551-R551</f>
        <v>117391.53</v>
      </c>
      <c r="T551" s="170">
        <v>-31257</v>
      </c>
      <c r="U551" s="170">
        <f t="shared" ref="U551" si="1947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1823"/>
        <v>0.86192310716976595</v>
      </c>
      <c r="Y551" s="171">
        <f t="shared" si="1824"/>
        <v>0.25223614764049507</v>
      </c>
      <c r="Z551" s="784">
        <f t="shared" si="1825"/>
        <v>-0.10188123868359189</v>
      </c>
    </row>
    <row r="552" spans="1:26" ht="20.100000000000001" customHeight="1" x14ac:dyDescent="0.25">
      <c r="A552" s="160">
        <f t="shared" ref="A552" si="1948">B552-$B$2</f>
        <v>863</v>
      </c>
      <c r="B552" s="169">
        <v>43096</v>
      </c>
      <c r="C552" s="211">
        <v>2682.62</v>
      </c>
      <c r="D552" s="168">
        <f t="shared" ref="D552" si="1949">(C552-C551)/C551</f>
        <v>7.9089722066774519E-4</v>
      </c>
      <c r="E552" s="205">
        <f t="shared" ref="E552" si="1950">(C552-$C$2)/$C$2</f>
        <v>0.27595555640113384</v>
      </c>
      <c r="F552" s="215">
        <v>6939.33</v>
      </c>
      <c r="G552" s="168">
        <f t="shared" ref="G552" si="1951">(F552-F551)/F551</f>
        <v>3.0127255219657178E-4</v>
      </c>
      <c r="H552" s="199">
        <f t="shared" ref="H552" si="1952">(F552-F$2)/F$2</f>
        <v>0.36287094683504528</v>
      </c>
      <c r="I552" s="217">
        <v>338273.53</v>
      </c>
      <c r="J552" s="170">
        <v>290000</v>
      </c>
      <c r="K552" s="170">
        <f t="shared" ref="K552" si="1953">I552-I551-J552+J551</f>
        <v>-1915.5999999999767</v>
      </c>
      <c r="L552" s="168">
        <f t="shared" ref="L552:L557" si="1954">K552/I551</f>
        <v>-5.6309853286610791E-3</v>
      </c>
      <c r="M552" s="178">
        <f t="shared" ref="M552" si="1955">I552-J552</f>
        <v>48273.530000000028</v>
      </c>
      <c r="N552" s="180">
        <f t="shared" ref="N552" si="1956">M552/J552</f>
        <v>0.16646044827586218</v>
      </c>
      <c r="O552" s="179">
        <f t="shared" ref="O552" si="1957">N552/(A552/365.25)</f>
        <v>7.0451539667159516E-2</v>
      </c>
      <c r="P552" s="178" t="b">
        <f t="shared" ref="P552" si="1958">L552&gt;D552</f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ref="S552" si="1959">I552-R552</f>
        <v>117391.53000000003</v>
      </c>
      <c r="T552" s="170">
        <v>-31384</v>
      </c>
      <c r="U552" s="170">
        <f t="shared" ref="U552" si="1960">M552-T552</f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1823"/>
        <v>0.86486872007406268</v>
      </c>
      <c r="Y552" s="171">
        <f t="shared" si="1824"/>
        <v>0.24252318074287207</v>
      </c>
      <c r="Z552" s="784">
        <f t="shared" si="1825"/>
        <v>-0.10949510812527166</v>
      </c>
    </row>
    <row r="553" spans="1:26" ht="20.100000000000001" customHeight="1" x14ac:dyDescent="0.25">
      <c r="A553" s="160">
        <f t="shared" ref="A553" si="1961">B553-$B$2</f>
        <v>864</v>
      </c>
      <c r="B553" s="169">
        <v>43097</v>
      </c>
      <c r="C553" s="211">
        <v>2687.54</v>
      </c>
      <c r="D553" s="168">
        <f t="shared" ref="D553" si="1962">(C553-C552)/C552</f>
        <v>1.8340279279212386E-3</v>
      </c>
      <c r="E553" s="205">
        <f t="shared" ref="E553" si="1963">(C553-$C$2)/$C$2</f>
        <v>0.27829569452635977</v>
      </c>
      <c r="F553" s="215">
        <v>6950.16</v>
      </c>
      <c r="G553" s="168">
        <f t="shared" ref="G553" si="1964">(F553-F552)/F552</f>
        <v>1.560669401801028E-3</v>
      </c>
      <c r="H553" s="199">
        <f t="shared" ref="H553" si="1965">(F553-F$2)/F$2</f>
        <v>0.36499793782037437</v>
      </c>
      <c r="I553" s="217">
        <v>338405.59</v>
      </c>
      <c r="J553" s="170">
        <v>290000</v>
      </c>
      <c r="K553" s="170">
        <f t="shared" ref="K553" si="1966">I553-I552-J553+J552</f>
        <v>132.05999999999767</v>
      </c>
      <c r="L553" s="168">
        <f t="shared" si="1954"/>
        <v>3.9039412868041335E-4</v>
      </c>
      <c r="M553" s="178">
        <f t="shared" ref="M553" si="1967">I553-J553</f>
        <v>48405.590000000026</v>
      </c>
      <c r="N553" s="180">
        <f t="shared" ref="N553" si="1968">M553/J553</f>
        <v>0.16691582758620699</v>
      </c>
      <c r="O553" s="179">
        <f t="shared" ref="O553" si="1969">N553/(A553/365.25)</f>
        <v>7.0562506974377437E-2</v>
      </c>
      <c r="P553" s="178" t="b">
        <f t="shared" ref="P553" si="1970">L553&gt;D553</f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ref="S553" si="1971">I553-R553</f>
        <v>119245.49000000002</v>
      </c>
      <c r="T553" s="170">
        <v>-31468</v>
      </c>
      <c r="U553" s="170">
        <f t="shared" ref="U553" si="1972">M553-T553</f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1823"/>
        <v>0.87196639247550867</v>
      </c>
      <c r="Y553" s="171">
        <f t="shared" si="1824"/>
        <v>0.24312627361668496</v>
      </c>
      <c r="Z553" s="784">
        <f t="shared" si="1825"/>
        <v>-0.11137986694015278</v>
      </c>
    </row>
    <row r="554" spans="1:26" ht="20.100000000000001" customHeight="1" x14ac:dyDescent="0.25">
      <c r="A554" s="160">
        <f t="shared" ref="A554" si="1973">B554-$B$2</f>
        <v>865</v>
      </c>
      <c r="B554" s="169">
        <v>43098</v>
      </c>
      <c r="C554" s="211">
        <v>2673.61</v>
      </c>
      <c r="D554" s="168">
        <f t="shared" ref="D554" si="1974">(C554-C553)/C553</f>
        <v>-5.1831786689685872E-3</v>
      </c>
      <c r="E554" s="205">
        <f t="shared" ref="E554" si="1975">(C554-$C$2)/$C$2</f>
        <v>0.2716700595498564</v>
      </c>
      <c r="F554" s="215">
        <v>6903.38</v>
      </c>
      <c r="G554" s="168">
        <f t="shared" ref="G554" si="1976">(F554-F553)/F553</f>
        <v>-6.7307802985830181E-3</v>
      </c>
      <c r="H554" s="199">
        <f t="shared" ref="H554" si="1977">(F554-F$2)/F$2</f>
        <v>0.35581043659288653</v>
      </c>
      <c r="I554" s="462">
        <v>337203.38</v>
      </c>
      <c r="J554" s="170">
        <v>290000</v>
      </c>
      <c r="K554" s="170">
        <f t="shared" ref="K554" si="1978">I554-I553-J554+J553</f>
        <v>-1202.210000000021</v>
      </c>
      <c r="L554" s="168">
        <f t="shared" si="1954"/>
        <v>-3.5525713390255191E-3</v>
      </c>
      <c r="M554" s="462">
        <f t="shared" ref="M554" si="1979">I554-J554</f>
        <v>47203.380000000005</v>
      </c>
      <c r="N554" s="180">
        <f t="shared" ref="N554" si="1980">M554/J554</f>
        <v>0.16277027586206899</v>
      </c>
      <c r="O554" s="179">
        <f t="shared" ref="O554" si="1981">N554/(A554/365.25)</f>
        <v>6.8730454634243585E-2</v>
      </c>
      <c r="P554" s="178" t="b">
        <f t="shared" ref="P554" si="1982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ref="S554" si="1983">I554-R554</f>
        <v>109209.98000000001</v>
      </c>
      <c r="T554" s="170">
        <v>-31748</v>
      </c>
      <c r="U554" s="170">
        <f t="shared" ref="U554" si="1984">M554-T554</f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1823"/>
        <v>0.85065238681758393</v>
      </c>
      <c r="Y554" s="171">
        <f t="shared" si="1824"/>
        <v>0.237017994501803</v>
      </c>
      <c r="Z554" s="784">
        <f t="shared" si="1825"/>
        <v>-0.10889978368778741</v>
      </c>
    </row>
    <row r="555" spans="1:26" ht="20.100000000000001" customHeight="1" x14ac:dyDescent="0.25">
      <c r="A555" s="160">
        <f t="shared" ref="A555" si="1985">B555-$B$2</f>
        <v>869</v>
      </c>
      <c r="B555" s="169">
        <v>43102</v>
      </c>
      <c r="C555" s="211">
        <v>2695.81</v>
      </c>
      <c r="D555" s="168">
        <f>(C555-C554)/C554</f>
        <v>8.3033800741319098E-3</v>
      </c>
      <c r="E555" s="205">
        <f t="shared" ref="E555" si="1986">(C555-$C$2)/$C$2</f>
        <v>0.28222921938319279</v>
      </c>
      <c r="F555" s="215">
        <v>7006.89</v>
      </c>
      <c r="G555" s="168">
        <f t="shared" ref="G555" si="1987">(F555-F554)/F554</f>
        <v>1.4994104337295675E-2</v>
      </c>
      <c r="H555" s="199">
        <f t="shared" ref="H555" si="1988">(F555-F$2)/F$2</f>
        <v>0.37613959974075467</v>
      </c>
      <c r="I555" s="217">
        <v>343412.47999999998</v>
      </c>
      <c r="J555" s="170">
        <v>290000</v>
      </c>
      <c r="K555" s="170">
        <f t="shared" ref="K555" si="1989">I555-I554-J555+J554</f>
        <v>6209.0999999999767</v>
      </c>
      <c r="L555" s="168">
        <f t="shared" si="1954"/>
        <v>1.8413516495593776E-2</v>
      </c>
      <c r="M555" s="178">
        <f t="shared" ref="M555" si="1990">I555-J555</f>
        <v>53412.479999999981</v>
      </c>
      <c r="N555" s="180">
        <f t="shared" ref="N555" si="1991">M555/J555</f>
        <v>0.18418096551724131</v>
      </c>
      <c r="O555" s="179">
        <f t="shared" ref="O555" si="1992">N555/(A555/365.25)</f>
        <v>7.7413230903535551E-2</v>
      </c>
      <c r="P555" s="178" t="b">
        <f t="shared" ref="P555" si="1993">L555&gt;D555</f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ref="S555" si="1994">I555-R555</f>
        <v>116207.37999999998</v>
      </c>
      <c r="T555" s="170">
        <v>-30580</v>
      </c>
      <c r="U555" s="170">
        <f t="shared" ref="U555" si="1995">M555-T555</f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1823"/>
        <v>0.87976823465996945</v>
      </c>
      <c r="Y555" s="171">
        <f t="shared" si="1824"/>
        <v>0.26697253126120757</v>
      </c>
      <c r="Z555" s="784">
        <f t="shared" si="1825"/>
        <v>-9.8048253865951479E-2</v>
      </c>
    </row>
    <row r="556" spans="1:26" ht="20.100000000000001" customHeight="1" x14ac:dyDescent="0.25">
      <c r="A556" s="160">
        <f t="shared" ref="A556" si="1996">B556-$B$2</f>
        <v>870</v>
      </c>
      <c r="B556" s="169">
        <v>43103</v>
      </c>
      <c r="C556" s="211">
        <v>2713.06</v>
      </c>
      <c r="D556" s="168">
        <f t="shared" ref="D556" si="1997">(C556-C555)/C555</f>
        <v>6.3988189078607177E-3</v>
      </c>
      <c r="E556" s="205">
        <f t="shared" ref="E556" si="1998">(C556-$C$2)/$C$2</f>
        <v>0.29043397195639348</v>
      </c>
      <c r="F556" s="215">
        <v>7065.53</v>
      </c>
      <c r="G556" s="168">
        <f t="shared" ref="G556" si="1999">(F556-F555)/F555</f>
        <v>8.3689054630512842E-3</v>
      </c>
      <c r="H556" s="199">
        <f t="shared" ref="H556" si="2000">(F556-F$2)/F$2</f>
        <v>0.38765638195494628</v>
      </c>
      <c r="I556" s="217">
        <v>344644.23</v>
      </c>
      <c r="J556" s="170">
        <v>290000</v>
      </c>
      <c r="K556" s="170">
        <f t="shared" ref="K556" si="2001">I556-I555-J556+J555</f>
        <v>1231.75</v>
      </c>
      <c r="L556" s="168">
        <f t="shared" si="1954"/>
        <v>3.5867945160292371E-3</v>
      </c>
      <c r="M556" s="178">
        <f t="shared" ref="M556" si="2002">I556-J556</f>
        <v>54644.229999999981</v>
      </c>
      <c r="N556" s="180">
        <f t="shared" ref="N556" si="2003">M556/J556</f>
        <v>0.18842837931034476</v>
      </c>
      <c r="O556" s="179">
        <f t="shared" ref="O556" si="2004">N556/(A556/365.25)</f>
        <v>7.9107431658739555E-2</v>
      </c>
      <c r="P556" s="178" t="b">
        <f t="shared" ref="P556" si="2005">L556&gt;D556</f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ref="S556" si="2006">I556-R556</f>
        <v>114939.32999999999</v>
      </c>
      <c r="T556" s="170">
        <v>-31165</v>
      </c>
      <c r="U556" s="170">
        <f t="shared" ref="U556" si="2007">M556-T556</f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1823"/>
        <v>0.90472592654327422</v>
      </c>
      <c r="Y556" s="171">
        <f t="shared" si="1824"/>
        <v>0.27305573993544613</v>
      </c>
      <c r="Z556" s="784">
        <f t="shared" si="1825"/>
        <v>-0.10200559264604872</v>
      </c>
    </row>
    <row r="557" spans="1:26" ht="20.100000000000001" customHeight="1" x14ac:dyDescent="0.25">
      <c r="A557" s="160">
        <f t="shared" ref="A557" si="2008">B557-$B$2</f>
        <v>871</v>
      </c>
      <c r="B557" s="169">
        <v>43104</v>
      </c>
      <c r="C557" s="211">
        <v>2723.99</v>
      </c>
      <c r="D557" s="168">
        <f t="shared" ref="D557" si="2009">(C557-C556)/C556</f>
        <v>4.0286613639211209E-3</v>
      </c>
      <c r="E557" s="205">
        <f t="shared" ref="E557" si="2010">(C557-$C$2)/$C$2</f>
        <v>0.29563269344190546</v>
      </c>
      <c r="F557" s="215">
        <v>7077.91</v>
      </c>
      <c r="G557" s="168">
        <f t="shared" ref="G557" si="2011">(F557-F556)/F556</f>
        <v>1.7521686271235292E-3</v>
      </c>
      <c r="H557" s="199">
        <f t="shared" ref="H557" si="2012">(F557-F$2)/F$2</f>
        <v>0.39008778993263549</v>
      </c>
      <c r="I557" s="217">
        <v>346398.26</v>
      </c>
      <c r="J557" s="170">
        <v>290000</v>
      </c>
      <c r="K557" s="170">
        <f t="shared" ref="K557" si="2013">I557-I556-J557+J556</f>
        <v>1754.0300000000279</v>
      </c>
      <c r="L557" s="168">
        <f t="shared" si="1954"/>
        <v>5.0893931983136001E-3</v>
      </c>
      <c r="M557" s="178">
        <f t="shared" ref="M557" si="2014">I557-J557</f>
        <v>56398.260000000009</v>
      </c>
      <c r="N557" s="180">
        <f t="shared" ref="N557" si="2015">M557/J557</f>
        <v>0.19447675862068969</v>
      </c>
      <c r="O557" s="179">
        <f t="shared" ref="O557" si="2016">N557/(A557/365.25)</f>
        <v>8.1552969100122732E-2</v>
      </c>
      <c r="P557" s="178" t="b">
        <f t="shared" ref="P557" si="2017">L557&gt;D557</f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ref="S557" si="2018">I557-R557</f>
        <v>103512.56</v>
      </c>
      <c r="T557" s="170">
        <v>-32271</v>
      </c>
      <c r="U557" s="170">
        <f t="shared" ref="U557" si="2019">M557-T557</f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1823"/>
        <v>0.92055057061790302</v>
      </c>
      <c r="Y557" s="171">
        <f t="shared" si="1824"/>
        <v>0.28173618304296705</v>
      </c>
      <c r="Z557" s="784">
        <f t="shared" si="1825"/>
        <v>-0.10115593482121576</v>
      </c>
    </row>
    <row r="558" spans="1:26" ht="20.100000000000001" customHeight="1" x14ac:dyDescent="0.25">
      <c r="A558" s="160">
        <f t="shared" ref="A558" si="2020">B558-$B$2</f>
        <v>872</v>
      </c>
      <c r="B558" s="169">
        <v>43105</v>
      </c>
      <c r="C558" s="211">
        <v>2743.15</v>
      </c>
      <c r="D558" s="168">
        <f t="shared" ref="D558" si="2021">(C558-C557)/C557</f>
        <v>7.0337996835525499E-3</v>
      </c>
      <c r="E558" s="205">
        <f t="shared" ref="E558" si="2022">(C558-$C$2)/$C$2</f>
        <v>0.30474591427103748</v>
      </c>
      <c r="F558" s="215">
        <v>7136.55</v>
      </c>
      <c r="G558" s="168">
        <f t="shared" ref="G558" si="2023">(F558-F557)/F557</f>
        <v>8.2849315687823569E-3</v>
      </c>
      <c r="H558" s="199">
        <f t="shared" ref="H558" si="2024">(F558-F$2)/F$2</f>
        <v>0.40160457214682727</v>
      </c>
      <c r="I558" s="217">
        <v>346659.69</v>
      </c>
      <c r="J558" s="170">
        <v>290000</v>
      </c>
      <c r="K558" s="170">
        <f t="shared" ref="K558" si="2025">I558-I557-J558+J557</f>
        <v>261.42999999999302</v>
      </c>
      <c r="L558" s="168">
        <f t="shared" ref="L558" si="2026">K558/I557</f>
        <v>7.5470933370159826E-4</v>
      </c>
      <c r="M558" s="178">
        <f t="shared" ref="M558" si="2027">I558-J558</f>
        <v>56659.69</v>
      </c>
      <c r="N558" s="180">
        <f t="shared" ref="N558" si="2028">M558/J558</f>
        <v>0.19537824137931034</v>
      </c>
      <c r="O558" s="179">
        <f t="shared" ref="O558" si="2029">N558/(A558/365.25)</f>
        <v>8.1837044339212267E-2</v>
      </c>
      <c r="P558" s="178" t="b">
        <f t="shared" ref="P558" si="2030">L558&gt;D558</f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ref="S558" si="2031">I558-R558</f>
        <v>124974.48999999999</v>
      </c>
      <c r="T558" s="170">
        <v>-31364</v>
      </c>
      <c r="U558" s="170">
        <f t="shared" ref="U558" si="2032">M558-T558</f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1823"/>
        <v>0.9481882972237784</v>
      </c>
      <c r="Y558" s="171">
        <f t="shared" si="1824"/>
        <v>0.28297259400884972</v>
      </c>
      <c r="Z558" s="784">
        <f t="shared" si="1825"/>
        <v>-0.10936767289172714</v>
      </c>
    </row>
    <row r="559" spans="1:26" ht="20.100000000000001" customHeight="1" x14ac:dyDescent="0.25">
      <c r="A559" s="160">
        <f t="shared" ref="A559" si="2033">B559-$B$2</f>
        <v>875</v>
      </c>
      <c r="B559" s="169">
        <v>43108</v>
      </c>
      <c r="C559" s="211">
        <v>2747.71</v>
      </c>
      <c r="D559" s="168">
        <f t="shared" ref="D559" si="2034">(C559-C558)/C558</f>
        <v>1.662322512440058E-3</v>
      </c>
      <c r="E559" s="205">
        <f t="shared" ref="E559" si="2035">(C559-$C$2)/$C$2</f>
        <v>0.30691482277734439</v>
      </c>
      <c r="F559" s="215">
        <v>7157.38</v>
      </c>
      <c r="G559" s="168">
        <f t="shared" ref="G559" si="2036">(F559-F558)/F558</f>
        <v>2.9187772803385289E-3</v>
      </c>
      <c r="H559" s="199">
        <f t="shared" ref="H559" si="2037">(F559-F$2)/F$2</f>
        <v>0.40569554372802802</v>
      </c>
      <c r="I559" s="217">
        <v>347500.29</v>
      </c>
      <c r="J559" s="170">
        <v>290000</v>
      </c>
      <c r="K559" s="170">
        <f t="shared" ref="K559" si="2038">I559-I558-J559+J558</f>
        <v>840.59999999997672</v>
      </c>
      <c r="L559" s="168">
        <f t="shared" ref="L559" si="2039">K559/I558</f>
        <v>2.4248564925445377E-3</v>
      </c>
      <c r="M559" s="178">
        <f t="shared" ref="M559" si="2040">I559-J559</f>
        <v>57500.289999999979</v>
      </c>
      <c r="N559" s="180">
        <f t="shared" ref="N559" si="2041">M559/J559</f>
        <v>0.19827686206896544</v>
      </c>
      <c r="O559" s="179">
        <f t="shared" ref="O559" si="2042">N559/(A559/365.25)</f>
        <v>8.2766427280788146E-2</v>
      </c>
      <c r="P559" s="178" t="b">
        <f t="shared" ref="P559" si="2043">L559&gt;D559</f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ref="S559" si="2044">I559-R559</f>
        <v>121497.78999999998</v>
      </c>
      <c r="T559" s="170">
        <v>-30809</v>
      </c>
      <c r="U559" s="170">
        <f t="shared" ref="U559" si="2045">M559-T559</f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1823"/>
        <v>0.95250385631962065</v>
      </c>
      <c r="Y559" s="171">
        <f t="shared" si="1824"/>
        <v>0.28644138210468678</v>
      </c>
      <c r="Z559" s="784">
        <f t="shared" si="1825"/>
        <v>-0.10863796070837894</v>
      </c>
    </row>
    <row r="560" spans="1:26" ht="20.100000000000001" customHeight="1" x14ac:dyDescent="0.25">
      <c r="A560" s="160">
        <f t="shared" ref="A560" si="2046">B560-$B$2</f>
        <v>876</v>
      </c>
      <c r="B560" s="169">
        <v>43109</v>
      </c>
      <c r="C560" s="211">
        <v>2751.29</v>
      </c>
      <c r="D560" s="168">
        <f t="shared" ref="D560" si="2047">(C560-C559)/C559</f>
        <v>1.3029031448005528E-3</v>
      </c>
      <c r="E560" s="205">
        <f t="shared" ref="E560" si="2048">(C560-$C$2)/$C$2</f>
        <v>0.30861760620992745</v>
      </c>
      <c r="F560" s="215">
        <v>7163.57</v>
      </c>
      <c r="G560" s="168">
        <f t="shared" ref="G560" si="2049">(F560-F559)/F559</f>
        <v>8.6484160405058829E-4</v>
      </c>
      <c r="H560" s="199">
        <f t="shared" ref="H560" si="2050">(F560-F$2)/F$2</f>
        <v>0.40691124771687254</v>
      </c>
      <c r="I560" s="217">
        <v>347598.39</v>
      </c>
      <c r="J560" s="170">
        <v>290000</v>
      </c>
      <c r="K560" s="170">
        <f t="shared" ref="K560" si="2051">I560-I559-J560+J559</f>
        <v>98.100000000034925</v>
      </c>
      <c r="L560" s="168">
        <f t="shared" ref="L560" si="2052">K560/I559</f>
        <v>2.8230192268338807E-4</v>
      </c>
      <c r="M560" s="178">
        <f t="shared" ref="M560" si="2053">I560-J560</f>
        <v>57598.390000000014</v>
      </c>
      <c r="N560" s="180">
        <f t="shared" ref="N560" si="2054">M560/J560</f>
        <v>0.19861513793103452</v>
      </c>
      <c r="O560" s="179">
        <f t="shared" ref="O560" si="2055">N560/(A560/365.25)</f>
        <v>8.2812989873641968E-2</v>
      </c>
      <c r="P560" s="178" t="b">
        <f t="shared" ref="P560" si="2056">L560&gt;D560</f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ref="S560" si="2057">I560-R560</f>
        <v>121497.79000000001</v>
      </c>
      <c r="T560" s="170">
        <v>-31069</v>
      </c>
      <c r="U560" s="170">
        <f t="shared" ref="U560" si="2058">M560-T560</f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1823"/>
        <v>0.95754758897981262</v>
      </c>
      <c r="Y560" s="171">
        <f t="shared" si="1824"/>
        <v>0.28686005262049236</v>
      </c>
      <c r="Z560" s="784">
        <f t="shared" si="1825"/>
        <v>-0.11000246827889293</v>
      </c>
    </row>
    <row r="561" spans="1:26" ht="20.100000000000001" customHeight="1" x14ac:dyDescent="0.25">
      <c r="A561" s="160">
        <f t="shared" ref="A561" si="2059">B561-$B$2</f>
        <v>877</v>
      </c>
      <c r="B561" s="169">
        <v>43110</v>
      </c>
      <c r="C561" s="211">
        <v>2748.23</v>
      </c>
      <c r="D561" s="168">
        <f t="shared" ref="D561" si="2060">(C561-C560)/C560</f>
        <v>-1.1122055472160134E-3</v>
      </c>
      <c r="E561" s="205">
        <f t="shared" ref="E561" si="2061">(C561-$C$2)/$C$2</f>
        <v>0.30716215444911626</v>
      </c>
      <c r="F561" s="215">
        <v>7153.57</v>
      </c>
      <c r="G561" s="168">
        <f t="shared" ref="G561" si="2062">(F561-F560)/F560</f>
        <v>-1.3959520183372258E-3</v>
      </c>
      <c r="H561" s="199">
        <f t="shared" ref="H561" si="2063">(F561-F$2)/F$2</f>
        <v>0.40494726712100082</v>
      </c>
      <c r="I561" s="217">
        <v>346712.84</v>
      </c>
      <c r="J561" s="170">
        <v>290000</v>
      </c>
      <c r="K561" s="170">
        <f t="shared" ref="K561" si="2064">I561-I560-J561+J560</f>
        <v>-885.54999999998836</v>
      </c>
      <c r="L561" s="168">
        <f t="shared" ref="L561" si="2065">K561/I560</f>
        <v>-2.5476239979131902E-3</v>
      </c>
      <c r="M561" s="178">
        <f t="shared" ref="M561" si="2066">I561-J561</f>
        <v>56712.840000000026</v>
      </c>
      <c r="N561" s="180">
        <f t="shared" ref="N561" si="2067">M561/J561</f>
        <v>0.19556151724137941</v>
      </c>
      <c r="O561" s="179">
        <f t="shared" ref="O561" si="2068">N561/(A561/365.25)</f>
        <v>8.1446800652695356E-2</v>
      </c>
      <c r="P561" s="178" t="b">
        <f t="shared" ref="P561" si="2069">L561&gt;D561</f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ref="S561" si="2070">I561-R561</f>
        <v>121497.79000000004</v>
      </c>
      <c r="T561" s="170">
        <v>-30783</v>
      </c>
      <c r="U561" s="170">
        <f t="shared" ref="U561" si="2071">M561-T561</f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1823"/>
        <v>0.9527675565157494</v>
      </c>
      <c r="Y561" s="171">
        <f t="shared" si="1824"/>
        <v>0.28237304873145685</v>
      </c>
      <c r="Z561" s="784">
        <f t="shared" si="1825"/>
        <v>-0.11160063720773686</v>
      </c>
    </row>
    <row r="562" spans="1:26" ht="20.100000000000001" customHeight="1" x14ac:dyDescent="0.25">
      <c r="A562" s="160">
        <f t="shared" ref="A562" si="2072">B562-$B$2</f>
        <v>878</v>
      </c>
      <c r="B562" s="169">
        <v>43111</v>
      </c>
      <c r="C562" s="211">
        <v>2767.56</v>
      </c>
      <c r="D562" s="168">
        <f t="shared" ref="D562" si="2073">(C562-C561)/C561</f>
        <v>7.0336180014045138E-3</v>
      </c>
      <c r="E562" s="205">
        <f t="shared" ref="E562" si="2074">(C562-$C$2)/$C$2</f>
        <v>0.31635623370940424</v>
      </c>
      <c r="F562" s="215">
        <v>7211.77</v>
      </c>
      <c r="G562" s="168">
        <f t="shared" ref="G562" si="2075">(F562-F561)/F561</f>
        <v>8.1357979302642911E-3</v>
      </c>
      <c r="H562" s="199">
        <f t="shared" ref="H562" si="2076">(F562-F$2)/F$2</f>
        <v>0.41637763418897433</v>
      </c>
      <c r="I562" s="217">
        <v>352178.1</v>
      </c>
      <c r="J562" s="170">
        <v>290000</v>
      </c>
      <c r="K562" s="170">
        <f t="shared" ref="K562" si="2077">I562-I561-J562+J561</f>
        <v>5465.2599999999511</v>
      </c>
      <c r="L562" s="168">
        <f t="shared" ref="L562" si="2078">K562/I561</f>
        <v>1.5763073556779583E-2</v>
      </c>
      <c r="M562" s="178">
        <f t="shared" ref="M562" si="2079">I562-J562</f>
        <v>62178.099999999977</v>
      </c>
      <c r="N562" s="180">
        <f t="shared" ref="N562" si="2080">M562/J562</f>
        <v>0.21440724137931028</v>
      </c>
      <c r="O562" s="179">
        <f t="shared" ref="O562" si="2081">N562/(A562/365.25)</f>
        <v>8.9193900812976179E-2</v>
      </c>
      <c r="P562" s="178" t="b">
        <f t="shared" ref="P562" si="2082">L562&gt;D562</f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ref="S562" si="2083">I562-R562</f>
        <v>134078.84999999998</v>
      </c>
      <c r="T562" s="170">
        <v>-30666</v>
      </c>
      <c r="U562" s="170">
        <f t="shared" ref="U562" si="2084">M562-T562</f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1823"/>
        <v>0.980525553568381</v>
      </c>
      <c r="Y562" s="171">
        <f t="shared" si="1824"/>
        <v>0.30931697621686</v>
      </c>
      <c r="Z562" s="784">
        <f t="shared" si="1825"/>
        <v>-0.10194899233009397</v>
      </c>
    </row>
    <row r="563" spans="1:26" ht="20.100000000000001" customHeight="1" x14ac:dyDescent="0.25">
      <c r="A563" s="160">
        <f t="shared" ref="A563" si="2085">B563-$B$2</f>
        <v>879</v>
      </c>
      <c r="B563" s="169">
        <v>43112</v>
      </c>
      <c r="C563" s="211">
        <v>2786.24</v>
      </c>
      <c r="D563" s="168">
        <f t="shared" ref="D563" si="2086">(C563-C562)/C562</f>
        <v>6.7496278310135412E-3</v>
      </c>
      <c r="E563" s="205">
        <f t="shared" ref="E563" si="2087">(C563-$C$2)/$C$2</f>
        <v>0.32524114837997742</v>
      </c>
      <c r="F563" s="215">
        <v>7261.06</v>
      </c>
      <c r="G563" s="168">
        <f t="shared" ref="G563" si="2088">(F563-F562)/F562</f>
        <v>6.8346605618315563E-3</v>
      </c>
      <c r="H563" s="199">
        <f t="shared" ref="H563" si="2089">(F563-F$2)/F$2</f>
        <v>0.426058094546026</v>
      </c>
      <c r="I563" s="217">
        <v>354257.05</v>
      </c>
      <c r="J563" s="170">
        <v>290000</v>
      </c>
      <c r="K563" s="170">
        <f t="shared" ref="K563" si="2090">I563-I562-J563+J562</f>
        <v>2078.9500000000116</v>
      </c>
      <c r="L563" s="168">
        <f t="shared" ref="L563" si="2091">K563/I562</f>
        <v>5.9031211764729603E-3</v>
      </c>
      <c r="M563" s="178">
        <f t="shared" ref="M563" si="2092">I563-J563</f>
        <v>64257.049999999988</v>
      </c>
      <c r="N563" s="180">
        <f t="shared" ref="N563" si="2093">M563/J563</f>
        <v>0.22157603448275859</v>
      </c>
      <c r="O563" s="179">
        <f t="shared" ref="O563" si="2094">N563/(A563/365.25)</f>
        <v>9.2071270301282801E-2</v>
      </c>
      <c r="P563" s="178" t="b">
        <f t="shared" ref="P563" si="2095">L563&gt;D563</f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ref="S563" si="2096">I563-R563</f>
        <v>144144.44999999998</v>
      </c>
      <c r="T563" s="170">
        <v>-30546</v>
      </c>
      <c r="U563" s="170">
        <f t="shared" ref="U563" si="2097">M563-T563</f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1823"/>
        <v>1.0073300609926426</v>
      </c>
      <c r="Y563" s="171">
        <f t="shared" si="1824"/>
        <v>0.31955709108186414</v>
      </c>
      <c r="Z563" s="784">
        <f t="shared" si="1825"/>
        <v>-0.10366511389721883</v>
      </c>
    </row>
    <row r="564" spans="1:26" ht="20.100000000000001" customHeight="1" x14ac:dyDescent="0.25">
      <c r="A564" s="160">
        <f t="shared" ref="A564" si="2098">B564-$B$2</f>
        <v>883</v>
      </c>
      <c r="B564" s="169">
        <v>43116</v>
      </c>
      <c r="C564" s="211">
        <v>2776.42</v>
      </c>
      <c r="D564" s="168">
        <f t="shared" ref="D564" si="2099">(C564-C563)/C563</f>
        <v>-3.5244630756861252E-3</v>
      </c>
      <c r="E564" s="205">
        <f t="shared" ref="E564" si="2100">(C564-$C$2)/$C$2</f>
        <v>0.32057038488613232</v>
      </c>
      <c r="F564" s="215">
        <v>7223.68</v>
      </c>
      <c r="G564" s="168">
        <f t="shared" ref="G564" si="2101">(F564-F563)/F563</f>
        <v>-5.148008692945673E-3</v>
      </c>
      <c r="H564" s="199">
        <f t="shared" ref="H564" si="2102">(F564-F$2)/F$2</f>
        <v>0.41871673507865753</v>
      </c>
      <c r="I564" s="217">
        <v>351080.55</v>
      </c>
      <c r="J564" s="170">
        <v>290000</v>
      </c>
      <c r="K564" s="170">
        <f t="shared" ref="K564" si="2103">I564-I563-J564+J563</f>
        <v>-3176.5</v>
      </c>
      <c r="L564" s="168">
        <f t="shared" ref="L564" si="2104">K564/I563</f>
        <v>-8.9666528866539138E-3</v>
      </c>
      <c r="M564" s="178">
        <f t="shared" ref="M564" si="2105">I564-J564</f>
        <v>61080.549999999988</v>
      </c>
      <c r="N564" s="180">
        <f t="shared" ref="N564" si="2106">M564/J564</f>
        <v>0.2106225862068965</v>
      </c>
      <c r="O564" s="179">
        <f t="shared" ref="O564" si="2107">N564/(A564/365.25)</f>
        <v>8.7123329118990886E-2</v>
      </c>
      <c r="P564" s="178" t="b">
        <f t="shared" ref="P564" si="2108">L564&gt;D564</f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ref="S564" si="2109">I564-R564</f>
        <v>134435.44999999998</v>
      </c>
      <c r="T564" s="170">
        <v>-30403</v>
      </c>
      <c r="U564" s="170">
        <f t="shared" ref="U564" si="2110">M564-T564</f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1823"/>
        <v>0.9890446437534286</v>
      </c>
      <c r="Y564" s="171">
        <f t="shared" si="1824"/>
        <v>0.30257794885746647</v>
      </c>
      <c r="Z564" s="784">
        <f t="shared" si="1825"/>
        <v>-0.10994779867923582</v>
      </c>
    </row>
    <row r="565" spans="1:26" ht="20.100000000000001" customHeight="1" x14ac:dyDescent="0.25">
      <c r="A565" s="160">
        <f t="shared" ref="A565" si="2111">B565-$B$2</f>
        <v>884</v>
      </c>
      <c r="B565" s="169">
        <v>43117</v>
      </c>
      <c r="C565" s="211">
        <v>2802.56</v>
      </c>
      <c r="D565" s="168">
        <f t="shared" ref="D565" si="2112">(C565-C564)/C564</f>
        <v>9.4150020530034614E-3</v>
      </c>
      <c r="E565" s="205">
        <f t="shared" ref="E565" si="2113">(C565-$C$2)/$C$2</f>
        <v>0.33300355777097079</v>
      </c>
      <c r="F565" s="215">
        <v>7298.27</v>
      </c>
      <c r="G565" s="168">
        <f t="shared" ref="G565" si="2114">(F565-F564)/F564</f>
        <v>1.0325761938513353E-2</v>
      </c>
      <c r="H565" s="199">
        <f t="shared" ref="H565" si="2115">(F565-F$2)/F$2</f>
        <v>0.43336606634326469</v>
      </c>
      <c r="I565" s="217">
        <v>354388.75</v>
      </c>
      <c r="J565" s="170">
        <v>290000</v>
      </c>
      <c r="K565" s="170">
        <f t="shared" ref="K565" si="2116">I565-I564-J565+J564</f>
        <v>3308.2000000000116</v>
      </c>
      <c r="L565" s="168">
        <f t="shared" ref="L565" si="2117">K565/I564</f>
        <v>9.4229087883108634E-3</v>
      </c>
      <c r="M565" s="178">
        <f t="shared" ref="M565" si="2118">I565-J565</f>
        <v>64388.75</v>
      </c>
      <c r="N565" s="180">
        <f t="shared" ref="N565" si="2119">M565/J565</f>
        <v>0.22203017241379311</v>
      </c>
      <c r="O565" s="179">
        <f t="shared" ref="O565" si="2120">N565/(A565/365.25)</f>
        <v>9.1738145332735208E-2</v>
      </c>
      <c r="P565" s="178" t="b">
        <f t="shared" ref="P565" si="2121">L565&gt;D565</f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ref="S565" si="2122">I565-R565</f>
        <v>144022.1</v>
      </c>
      <c r="T565" s="170">
        <v>-29857</v>
      </c>
      <c r="U565" s="170">
        <f t="shared" ref="U565" si="2123">M565-T565</f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1823"/>
        <v>1.0261465163851142</v>
      </c>
      <c r="Y565" s="171">
        <f t="shared" ref="Y565" si="2124">O565/W565</f>
        <v>0.31882255498684342</v>
      </c>
      <c r="Z565" s="784">
        <f t="shared" si="1825"/>
        <v>-0.11097338535717768</v>
      </c>
    </row>
    <row r="566" spans="1:26" ht="20.100000000000001" customHeight="1" x14ac:dyDescent="0.25">
      <c r="A566" s="160">
        <f t="shared" ref="A566" si="2125">B566-$B$2</f>
        <v>885</v>
      </c>
      <c r="B566" s="169">
        <v>43118</v>
      </c>
      <c r="C566" s="211">
        <v>2798.03</v>
      </c>
      <c r="D566" s="168">
        <f t="shared" ref="D566" si="2126">(C566-C565)/C565</f>
        <v>-1.6163793103447367E-3</v>
      </c>
      <c r="E566" s="205">
        <f t="shared" ref="E566" si="2127">(C566-$C$2)/$C$2</f>
        <v>0.33084891839957387</v>
      </c>
      <c r="F566" s="215">
        <v>7296.04</v>
      </c>
      <c r="G566" s="168">
        <f t="shared" ref="G566" si="2128">(F566-F565)/F565</f>
        <v>-3.0555186366090493E-4</v>
      </c>
      <c r="H566" s="199">
        <f t="shared" ref="H566" si="2129">(F566-F$2)/F$2</f>
        <v>0.43292809867038518</v>
      </c>
      <c r="I566" s="217">
        <v>353987.72</v>
      </c>
      <c r="J566" s="170">
        <v>290000</v>
      </c>
      <c r="K566" s="170">
        <f t="shared" ref="K566" si="2130">I566-I565-J566+J565</f>
        <v>-401.03000000002794</v>
      </c>
      <c r="L566" s="168">
        <f t="shared" ref="L566" si="2131">K566/I565</f>
        <v>-1.1316104137053672E-3</v>
      </c>
      <c r="M566" s="178">
        <f t="shared" ref="M566" si="2132">I566-J566</f>
        <v>63987.719999999972</v>
      </c>
      <c r="N566" s="180">
        <f t="shared" ref="N566" si="2133">M566/J566</f>
        <v>0.22064731034482749</v>
      </c>
      <c r="O566" s="179">
        <f t="shared" ref="O566" si="2134">N566/(A566/365.25)</f>
        <v>9.1063762828755071E-2</v>
      </c>
      <c r="P566" s="178" t="b">
        <f t="shared" ref="P566" si="2135">L566&gt;D566</f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ref="S566" si="2136">I566-R566</f>
        <v>141582.06999999998</v>
      </c>
      <c r="T566" s="170">
        <v>-30624</v>
      </c>
      <c r="U566" s="170">
        <f t="shared" ref="U566" si="2137">M566-T566</f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1823"/>
        <v>1.0192013082546669</v>
      </c>
      <c r="Y566" s="171">
        <f t="shared" ref="Y566" si="2138">O566/W566</f>
        <v>0.31675752410721358</v>
      </c>
      <c r="Z566" s="784">
        <f t="shared" si="1825"/>
        <v>-0.11020160805474638</v>
      </c>
    </row>
    <row r="567" spans="1:26" ht="20.100000000000001" customHeight="1" x14ac:dyDescent="0.25">
      <c r="A567" s="160">
        <f t="shared" ref="A567" si="2139">B567-$B$2</f>
        <v>886</v>
      </c>
      <c r="B567" s="169">
        <v>43119</v>
      </c>
      <c r="C567" s="211">
        <v>2810.3</v>
      </c>
      <c r="D567" s="168">
        <f t="shared" ref="D567" si="2140">(C567-C566)/C566</f>
        <v>4.3852281783969367E-3</v>
      </c>
      <c r="E567" s="205">
        <f t="shared" ref="E567" si="2141">(C567-$C$2)/$C$2</f>
        <v>0.33668499457772877</v>
      </c>
      <c r="F567" s="215">
        <v>7336.38</v>
      </c>
      <c r="G567" s="168">
        <f t="shared" ref="G567" si="2142">(F567-F566)/F566</f>
        <v>5.5290267048974714E-3</v>
      </c>
      <c r="H567" s="199">
        <f t="shared" ref="H567" si="2143">(F567-F$2)/F$2</f>
        <v>0.44085079639413172</v>
      </c>
      <c r="I567" s="217">
        <v>365192.76</v>
      </c>
      <c r="J567" s="170">
        <v>300000</v>
      </c>
      <c r="K567" s="170">
        <f t="shared" ref="K567" si="2144">I567-I566-J567+J566</f>
        <v>1205.0400000000373</v>
      </c>
      <c r="L567" s="168">
        <f t="shared" ref="L567" si="2145">K567/I566</f>
        <v>3.4041858853183873E-3</v>
      </c>
      <c r="M567" s="178">
        <f t="shared" ref="M567" si="2146">I567-J567</f>
        <v>65192.760000000009</v>
      </c>
      <c r="N567" s="180">
        <f t="shared" ref="N567" si="2147">M567/J567</f>
        <v>0.21730920000000004</v>
      </c>
      <c r="O567" s="179">
        <f t="shared" ref="O567" si="2148">N567/(A567/365.25)</f>
        <v>8.9584859255079016E-2</v>
      </c>
      <c r="P567" s="178" t="b">
        <f t="shared" ref="P567" si="2149">L567&gt;D567</f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ref="S567" si="2150">I567-R567</f>
        <v>160521.86000000002</v>
      </c>
      <c r="T567" s="170">
        <v>-30347</v>
      </c>
      <c r="U567" s="170">
        <f t="shared" ref="U567" si="2151">M567-T567</f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1823"/>
        <v>1.0367382103603608</v>
      </c>
      <c r="Y567" s="171">
        <f t="shared" ref="Y567" si="2152">O567/W567</f>
        <v>0.31188354803070534</v>
      </c>
      <c r="Z567" s="784">
        <f t="shared" si="1825"/>
        <v>-0.11937579457772873</v>
      </c>
    </row>
    <row r="568" spans="1:26" ht="20.100000000000001" customHeight="1" x14ac:dyDescent="0.25">
      <c r="A568" s="160">
        <f t="shared" ref="A568" si="2153">B568-$B$2</f>
        <v>889</v>
      </c>
      <c r="B568" s="169">
        <v>43122</v>
      </c>
      <c r="C568" s="211">
        <v>2832.97</v>
      </c>
      <c r="D568" s="168">
        <f t="shared" ref="D568" si="2154">(C568-C567)/C567</f>
        <v>8.0667544390277245E-3</v>
      </c>
      <c r="E568" s="205">
        <f t="shared" ref="E568" si="2155">(C568-$C$2)/$C$2</f>
        <v>0.34746770419132045</v>
      </c>
      <c r="F568" s="215">
        <v>7408.03</v>
      </c>
      <c r="G568" s="168">
        <f t="shared" ref="G568" si="2156">(F568-F567)/F567</f>
        <v>9.7663970514067742E-3</v>
      </c>
      <c r="H568" s="199">
        <f t="shared" ref="H568" si="2157">(F568-F$2)/F$2</f>
        <v>0.45492271736355244</v>
      </c>
      <c r="I568" s="217">
        <v>368309.46</v>
      </c>
      <c r="J568" s="170">
        <v>300000</v>
      </c>
      <c r="K568" s="170">
        <f t="shared" ref="K568" si="2158">I568-I567-J568+J567</f>
        <v>3116.7000000000116</v>
      </c>
      <c r="L568" s="168">
        <f t="shared" ref="L568" si="2159">K568/I567</f>
        <v>8.5343970126899871E-3</v>
      </c>
      <c r="M568" s="178">
        <f t="shared" ref="M568" si="2160">I568-J568</f>
        <v>68309.460000000021</v>
      </c>
      <c r="N568" s="180">
        <f t="shared" ref="N568" si="2161">M568/J568</f>
        <v>0.22769820000000007</v>
      </c>
      <c r="O568" s="179">
        <f t="shared" ref="O568" si="2162">N568/(A568/365.25)</f>
        <v>9.3550919628796428E-2</v>
      </c>
      <c r="P568" s="178" t="b">
        <f t="shared" ref="P568" si="2163">L568&gt;D568</f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ref="S568" si="2164">I568-R568</f>
        <v>148229.66000000003</v>
      </c>
      <c r="T568" s="170">
        <v>-30244</v>
      </c>
      <c r="U568" s="170">
        <f t="shared" ref="U568" si="2165">M568-T568</f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1823"/>
        <v>1.0665255307838999</v>
      </c>
      <c r="Y568" s="171">
        <f t="shared" ref="Y568" si="2166">O568/W568</f>
        <v>0.32592514204778938</v>
      </c>
      <c r="Z568" s="784">
        <f t="shared" si="1825"/>
        <v>-0.11976950419132038</v>
      </c>
    </row>
    <row r="569" spans="1:26" ht="20.100000000000001" customHeight="1" x14ac:dyDescent="0.25">
      <c r="A569" s="160">
        <f t="shared" ref="A569" si="2167">B569-$B$2</f>
        <v>890</v>
      </c>
      <c r="B569" s="169">
        <v>43123</v>
      </c>
      <c r="C569" s="211">
        <v>2839.12</v>
      </c>
      <c r="D569" s="168">
        <f t="shared" ref="D569" si="2168">(C569-C568)/C568</f>
        <v>2.170866617013273E-3</v>
      </c>
      <c r="E569" s="205">
        <f t="shared" ref="E569" si="2169">(C569-$C$2)/$C$2</f>
        <v>0.35039287684785286</v>
      </c>
      <c r="F569" s="215">
        <v>7460.28</v>
      </c>
      <c r="G569" s="168">
        <f t="shared" ref="G569" si="2170">(F569-F568)/F568</f>
        <v>7.0531571821388413E-3</v>
      </c>
      <c r="H569" s="199">
        <f t="shared" ref="H569" si="2171">(F569-F$2)/F$2</f>
        <v>0.46518451597698213</v>
      </c>
      <c r="I569" s="217">
        <v>368315.52</v>
      </c>
      <c r="J569" s="170">
        <v>300000</v>
      </c>
      <c r="K569" s="170">
        <f t="shared" ref="K569" si="2172">I569-I568-J569+J568</f>
        <v>6.0599999999976717</v>
      </c>
      <c r="L569" s="168">
        <f t="shared" ref="L569" si="2173">K569/I568</f>
        <v>1.6453555116389548E-5</v>
      </c>
      <c r="M569" s="178">
        <f t="shared" ref="M569" si="2174">I569-J569</f>
        <v>68315.520000000019</v>
      </c>
      <c r="N569" s="180">
        <f t="shared" ref="N569" si="2175">M569/J569</f>
        <v>0.22771840000000007</v>
      </c>
      <c r="O569" s="179">
        <f t="shared" ref="O569" si="2176">N569/(A569/365.25)</f>
        <v>9.3454096179775306E-2</v>
      </c>
      <c r="P569" s="178" t="b">
        <f t="shared" ref="P569" si="2177">L569&gt;D569</f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ref="S569" si="2178">I569-R569</f>
        <v>149858.77000000002</v>
      </c>
      <c r="T569" s="170">
        <v>-30209</v>
      </c>
      <c r="U569" s="170">
        <f t="shared" ref="U569" si="2179">M569-T569</f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1823"/>
        <v>1.0752114170400873</v>
      </c>
      <c r="Y569" s="171">
        <f t="shared" ref="Y569" si="2180">O569/W569</f>
        <v>0.32587543496883586</v>
      </c>
      <c r="Z569" s="784">
        <f t="shared" si="1825"/>
        <v>-0.12267447684785279</v>
      </c>
    </row>
    <row r="570" spans="1:26" ht="20.100000000000001" customHeight="1" x14ac:dyDescent="0.25">
      <c r="A570" s="160">
        <f t="shared" ref="A570" si="2181">B570-$B$2</f>
        <v>891</v>
      </c>
      <c r="B570" s="169">
        <v>43124</v>
      </c>
      <c r="C570" s="211">
        <v>2837.54</v>
      </c>
      <c r="D570" s="168">
        <f t="shared" ref="D570" si="2182">(C570-C569)/C569</f>
        <v>-5.5651046803232239E-4</v>
      </c>
      <c r="E570" s="205">
        <f t="shared" ref="E570" si="2183">(C570-$C$2)/$C$2</f>
        <v>0.3496413690759308</v>
      </c>
      <c r="F570" s="215">
        <v>7415.05</v>
      </c>
      <c r="G570" s="168">
        <f t="shared" ref="G570" si="2184">(F570-F569)/F569</f>
        <v>-6.0627751237218395E-3</v>
      </c>
      <c r="H570" s="199">
        <f t="shared" ref="H570" si="2185">(F570-F$2)/F$2</f>
        <v>0.4563014317418545</v>
      </c>
      <c r="I570" s="217">
        <v>368621.05</v>
      </c>
      <c r="J570" s="170">
        <v>300000</v>
      </c>
      <c r="K570" s="170">
        <f t="shared" ref="K570" si="2186">I570-I569-J570+J569</f>
        <v>305.52999999996973</v>
      </c>
      <c r="L570" s="168">
        <f t="shared" ref="L570" si="2187">K570/I569</f>
        <v>8.2953333055302617E-4</v>
      </c>
      <c r="M570" s="178">
        <f t="shared" ref="M570" si="2188">I570-J570</f>
        <v>68621.049999999988</v>
      </c>
      <c r="N570" s="180">
        <f t="shared" ref="N570" si="2189">M570/J570</f>
        <v>0.22873683333333331</v>
      </c>
      <c r="O570" s="179">
        <f t="shared" ref="O570" si="2190">N570/(A570/365.25)</f>
        <v>9.3766698512906838E-2</v>
      </c>
      <c r="P570" s="178" t="b">
        <f t="shared" ref="P570" si="2191">L570&gt;D570</f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ref="S570" si="2192">I570-R570</f>
        <v>149024.19999999998</v>
      </c>
      <c r="T570" s="170">
        <v>-30343</v>
      </c>
      <c r="U570" s="170">
        <f t="shared" ref="U570" si="2193">M570-T570</f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1823"/>
        <v>1.0726307345929313</v>
      </c>
      <c r="Y570" s="171">
        <f t="shared" ref="Y570" si="2194">O570/W570</f>
        <v>0.32725417304130078</v>
      </c>
      <c r="Z570" s="784">
        <f t="shared" si="1825"/>
        <v>-0.12090453574259749</v>
      </c>
    </row>
    <row r="571" spans="1:26" ht="20.100000000000001" customHeight="1" x14ac:dyDescent="0.25">
      <c r="A571" s="160">
        <f t="shared" ref="A571" si="2195">B571-$B$2</f>
        <v>892</v>
      </c>
      <c r="B571" s="169">
        <v>43125</v>
      </c>
      <c r="C571" s="211">
        <v>2839.25</v>
      </c>
      <c r="D571" s="168">
        <f t="shared" ref="D571" si="2196">(C571-C570)/C570</f>
        <v>6.0263467651558618E-4</v>
      </c>
      <c r="E571" s="205">
        <f t="shared" ref="E571" si="2197">(C571-$C$2)/$C$2</f>
        <v>0.3504547097657959</v>
      </c>
      <c r="F571" s="215">
        <v>7411.16</v>
      </c>
      <c r="G571" s="168">
        <f t="shared" ref="G571" si="2198">(F571-F570)/F570</f>
        <v>-5.2460873493777218E-4</v>
      </c>
      <c r="H571" s="199">
        <f t="shared" ref="H571" si="2199">(F571-F$2)/F$2</f>
        <v>0.4555374432900603</v>
      </c>
      <c r="I571" s="217">
        <v>365192.24</v>
      </c>
      <c r="J571" s="170">
        <v>300000</v>
      </c>
      <c r="K571" s="170">
        <f t="shared" ref="K571" si="2200">I571-I570-J571+J570</f>
        <v>-3428.8099999999977</v>
      </c>
      <c r="L571" s="168">
        <f t="shared" ref="L571" si="2201">K571/I570</f>
        <v>-9.3017205609934595E-3</v>
      </c>
      <c r="M571" s="178">
        <f t="shared" ref="M571" si="2202">I571-J571</f>
        <v>65192.239999999991</v>
      </c>
      <c r="N571" s="180">
        <f t="shared" ref="N571" si="2203">M571/J571</f>
        <v>0.21730746666666664</v>
      </c>
      <c r="O571" s="179">
        <f t="shared" ref="O571" si="2204">N571/(A571/365.25)</f>
        <v>8.8981560762331838E-2</v>
      </c>
      <c r="P571" s="178" t="b">
        <f t="shared" ref="P571" si="2205">L571&gt;D571</f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ref="S571" si="2206">I571-R571</f>
        <v>151785.99</v>
      </c>
      <c r="T571" s="170">
        <v>-32432</v>
      </c>
      <c r="U571" s="170">
        <f t="shared" ref="U571" si="2207">M571-T571</f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1823"/>
        <v>1.0748671873647724</v>
      </c>
      <c r="Y571" s="171">
        <f t="shared" ref="Y571" si="2208">O571/W571</f>
        <v>0.31074376950994032</v>
      </c>
      <c r="Z571" s="784">
        <f t="shared" si="1825"/>
        <v>-0.13314724309912926</v>
      </c>
    </row>
    <row r="572" spans="1:26" ht="20.100000000000001" customHeight="1" x14ac:dyDescent="0.25">
      <c r="A572" s="160">
        <f t="shared" ref="A572" si="2209">B572-$B$2</f>
        <v>893</v>
      </c>
      <c r="B572" s="169">
        <v>43126</v>
      </c>
      <c r="C572" s="211">
        <v>2872.87</v>
      </c>
      <c r="D572" s="168">
        <f t="shared" ref="D572" si="2210">(C572-C571)/C571</f>
        <v>1.1841155234657001E-2</v>
      </c>
      <c r="E572" s="205">
        <f t="shared" ref="E572" si="2211">(C572-$C$2)/$C$2</f>
        <v>0.36644565362150633</v>
      </c>
      <c r="F572" s="215">
        <v>7505.77</v>
      </c>
      <c r="G572" s="168">
        <f t="shared" ref="G572" si="2212">(F572-F571)/F571</f>
        <v>1.2765882803771687E-2</v>
      </c>
      <c r="H572" s="199">
        <f t="shared" ref="H572" si="2213">(F572-F$2)/F$2</f>
        <v>0.47411866370760269</v>
      </c>
      <c r="I572" s="217">
        <v>367940.03</v>
      </c>
      <c r="J572" s="170">
        <v>300000</v>
      </c>
      <c r="K572" s="170">
        <f t="shared" ref="K572" si="2214">I572-I571-J572+J571</f>
        <v>2747.7900000000373</v>
      </c>
      <c r="L572" s="168">
        <f t="shared" ref="L572" si="2215">K572/I571</f>
        <v>7.5242288828482155E-3</v>
      </c>
      <c r="M572" s="178">
        <f t="shared" ref="M572" si="2216">I572-J572</f>
        <v>67940.030000000028</v>
      </c>
      <c r="N572" s="180">
        <f t="shared" ref="N572" si="2217">M572/J572</f>
        <v>0.22646676666666676</v>
      </c>
      <c r="O572" s="179">
        <f t="shared" ref="O572" si="2218">N572/(A572/365.25)</f>
        <v>9.2628204395296801E-2</v>
      </c>
      <c r="P572" s="178" t="b">
        <f t="shared" ref="P572" si="2219">L572&gt;D572</f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ref="S572" si="2220">I572-R572</f>
        <v>178212.28000000003</v>
      </c>
      <c r="T572" s="170">
        <v>-32122</v>
      </c>
      <c r="U572" s="170">
        <f t="shared" ref="U572" si="2221">M572-T572</f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1823"/>
        <v>1.1218703455007415</v>
      </c>
      <c r="Y572" s="171">
        <f t="shared" ref="Y572" si="2222">O572/W572</f>
        <v>0.32372209409395913</v>
      </c>
      <c r="Z572" s="784">
        <f t="shared" si="1825"/>
        <v>-0.13997888695483957</v>
      </c>
    </row>
    <row r="573" spans="1:26" ht="20.100000000000001" customHeight="1" x14ac:dyDescent="0.25">
      <c r="A573" s="160">
        <f t="shared" ref="A573" si="2223">B573-$B$2</f>
        <v>896</v>
      </c>
      <c r="B573" s="169">
        <v>43129</v>
      </c>
      <c r="C573" s="211">
        <v>2853.53</v>
      </c>
      <c r="D573" s="168">
        <f t="shared" ref="D573" si="2224">(C573-C572)/C572</f>
        <v>-6.7319440141738723E-3</v>
      </c>
      <c r="E573" s="205">
        <f t="shared" ref="E573" si="2225">(C573-$C$2)/$C$2</f>
        <v>0.35724681798291513</v>
      </c>
      <c r="F573" s="215">
        <v>7466.5</v>
      </c>
      <c r="G573" s="168">
        <f t="shared" ref="G573" si="2226">(F573-F572)/F572</f>
        <v>-5.2319748673354547E-3</v>
      </c>
      <c r="H573" s="199">
        <f t="shared" ref="H573" si="2227">(F573-F$2)/F$2</f>
        <v>0.46640611190761438</v>
      </c>
      <c r="I573" s="217">
        <v>367642.25</v>
      </c>
      <c r="J573" s="170">
        <v>300000</v>
      </c>
      <c r="K573" s="170">
        <f t="shared" ref="K573" si="2228">I573-I572-J573+J572</f>
        <v>-297.78000000002794</v>
      </c>
      <c r="L573" s="168">
        <f t="shared" ref="L573" si="2229">K573/I572</f>
        <v>-8.0931667043683151E-4</v>
      </c>
      <c r="M573" s="178">
        <f t="shared" ref="M573" si="2230">I573-J573</f>
        <v>67642.25</v>
      </c>
      <c r="N573" s="180">
        <f t="shared" ref="N573" si="2231">M573/J573</f>
        <v>0.22547416666666667</v>
      </c>
      <c r="O573" s="179">
        <f t="shared" ref="O573" si="2232">N573/(A573/365.25)</f>
        <v>9.1913436802455367E-2</v>
      </c>
      <c r="P573" s="178" t="b">
        <f t="shared" ref="P573" si="2233">L573&gt;D573</f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ref="S573" si="2234">I573-R573</f>
        <v>177913.5</v>
      </c>
      <c r="T573" s="170">
        <v>-32121</v>
      </c>
      <c r="U573" s="170">
        <f t="shared" ref="U573" si="2235">M573-T573</f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1823"/>
        <v>1.0902813474554434</v>
      </c>
      <c r="Y573" s="171">
        <f t="shared" ref="Y573" si="2236">O573/W573</f>
        <v>0.32150433122995509</v>
      </c>
      <c r="Z573" s="784">
        <f t="shared" si="1825"/>
        <v>-0.13177265131624846</v>
      </c>
    </row>
    <row r="574" spans="1:26" ht="20.100000000000001" customHeight="1" x14ac:dyDescent="0.25">
      <c r="A574" s="160">
        <f t="shared" ref="A574" si="2237">B574-$B$2</f>
        <v>897</v>
      </c>
      <c r="B574" s="169">
        <v>43130</v>
      </c>
      <c r="C574" s="211">
        <v>2822.43</v>
      </c>
      <c r="D574" s="168">
        <f t="shared" ref="D574" si="2238">(C574-C573)/C573</f>
        <v>-1.0898781509218533E-2</v>
      </c>
      <c r="E574" s="205">
        <f t="shared" ref="E574" si="2239">(C574-$C$2)/$C$2</f>
        <v>0.34245448145963725</v>
      </c>
      <c r="F574" s="215">
        <v>7402.48</v>
      </c>
      <c r="G574" s="168">
        <f t="shared" ref="G574" si="2240">(F574-F573)/F573</f>
        <v>-8.5742985334494662E-3</v>
      </c>
      <c r="H574" s="199">
        <f t="shared" ref="H574" si="2241">(F574-F$2)/F$2</f>
        <v>0.4538327081328436</v>
      </c>
      <c r="I574" s="217">
        <v>363472.55</v>
      </c>
      <c r="J574" s="170">
        <v>300000</v>
      </c>
      <c r="K574" s="170">
        <f t="shared" ref="K574" si="2242">I574-I573-J574+J573</f>
        <v>-4169.7000000000116</v>
      </c>
      <c r="L574" s="168">
        <f t="shared" ref="L574" si="2243">K574/I573</f>
        <v>-1.1341732349859168E-2</v>
      </c>
      <c r="M574" s="178">
        <f t="shared" ref="M574" si="2244">I574-J574</f>
        <v>63472.549999999988</v>
      </c>
      <c r="N574" s="180">
        <f t="shared" ref="N574" si="2245">M574/J574</f>
        <v>0.21157516666666662</v>
      </c>
      <c r="O574" s="179">
        <f t="shared" ref="O574" si="2246">N574/(A574/365.25)</f>
        <v>8.6151426560758054E-2</v>
      </c>
      <c r="P574" s="178" t="b">
        <f t="shared" ref="P574" si="2247">L574&gt;D574</f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ref="S574" si="2248">I574-R574</f>
        <v>161319</v>
      </c>
      <c r="T574" s="170">
        <v>-32010</v>
      </c>
      <c r="U574" s="170">
        <f t="shared" ref="U574" si="2249">M574-T574</f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1823"/>
        <v>1.0431909998648377</v>
      </c>
      <c r="Y574" s="171">
        <f t="shared" ref="Y574" si="2250">O574/W574</f>
        <v>0.30149621670372895</v>
      </c>
      <c r="Z574" s="784">
        <f t="shared" si="1825"/>
        <v>-0.13087931479297063</v>
      </c>
    </row>
    <row r="575" spans="1:26" ht="20.100000000000001" customHeight="1" x14ac:dyDescent="0.25">
      <c r="A575" s="160">
        <f t="shared" ref="A575" si="2251">B575-$B$2</f>
        <v>898</v>
      </c>
      <c r="B575" s="169">
        <v>43131</v>
      </c>
      <c r="C575" s="211">
        <v>2823.81</v>
      </c>
      <c r="D575" s="168">
        <f t="shared" ref="D575" si="2252">(C575-C574)/C574</f>
        <v>4.8894038116095327E-4</v>
      </c>
      <c r="E575" s="205">
        <f t="shared" ref="E575" si="2253">(C575-$C$2)/$C$2</f>
        <v>0.34311086166549337</v>
      </c>
      <c r="F575" s="215">
        <v>7411.48</v>
      </c>
      <c r="G575" s="168">
        <f t="shared" ref="G575" si="2254">(F575-F574)/F574</f>
        <v>1.215808755984481E-3</v>
      </c>
      <c r="H575" s="199">
        <f t="shared" ref="H575" si="2255">(F575-F$2)/F$2</f>
        <v>0.45560029066912816</v>
      </c>
      <c r="I575" s="462">
        <v>363062.5</v>
      </c>
      <c r="J575" s="170">
        <v>300000</v>
      </c>
      <c r="K575" s="170">
        <f t="shared" ref="K575" si="2256">I575-I574-J575+J574</f>
        <v>-410.04999999998836</v>
      </c>
      <c r="L575" s="168">
        <f t="shared" ref="L575" si="2257">K575/I574</f>
        <v>-1.1281457155429987E-3</v>
      </c>
      <c r="M575" s="462">
        <f t="shared" ref="M575" si="2258">I575-J575</f>
        <v>63062.5</v>
      </c>
      <c r="N575" s="180">
        <f t="shared" ref="N575" si="2259">M575/J575</f>
        <v>0.21020833333333333</v>
      </c>
      <c r="O575" s="179">
        <f t="shared" ref="O575" si="2260">N575/(A575/365.25)</f>
        <v>8.5499547605790635E-2</v>
      </c>
      <c r="P575" s="178" t="b">
        <f t="shared" ref="P575" si="2261">L575&gt;D575</f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ref="S575" si="2262">I575-R575</f>
        <v>137246</v>
      </c>
      <c r="T575" s="170">
        <v>-31812</v>
      </c>
      <c r="U575" s="170">
        <f t="shared" ref="U575" si="2263">M575-T575</f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1823"/>
        <v>1.0449403282928045</v>
      </c>
      <c r="Y575" s="171">
        <f t="shared" ref="Y575" si="2264">O575/W575</f>
        <v>0.29947424513700288</v>
      </c>
      <c r="Z575" s="784">
        <f t="shared" si="1825"/>
        <v>-0.13290252833216004</v>
      </c>
    </row>
    <row r="576" spans="1:26" ht="20.100000000000001" customHeight="1" x14ac:dyDescent="0.25">
      <c r="A576" s="160">
        <f t="shared" ref="A576" si="2265">B576-$B$2</f>
        <v>899</v>
      </c>
      <c r="B576" s="169">
        <v>43132</v>
      </c>
      <c r="C576" s="211">
        <v>2821.98</v>
      </c>
      <c r="D576" s="168">
        <f t="shared" ref="D576" si="2266">(C576-C575)/C575</f>
        <v>-6.4806059897795079E-4</v>
      </c>
      <c r="E576" s="205">
        <f t="shared" ref="E576" si="2267">(C576-$C$2)/$C$2</f>
        <v>0.34224044443598861</v>
      </c>
      <c r="F576" s="215">
        <v>7385.86</v>
      </c>
      <c r="G576" s="168">
        <f t="shared" ref="G576" si="2268">(F576-F575)/F575</f>
        <v>-3.4567994516614621E-3</v>
      </c>
      <c r="H576" s="199">
        <f t="shared" ref="H576" si="2269">(F576-F$2)/F$2</f>
        <v>0.45056857238250486</v>
      </c>
      <c r="I576" s="217">
        <v>363770.56</v>
      </c>
      <c r="J576" s="170">
        <v>300000</v>
      </c>
      <c r="K576" s="170">
        <f t="shared" ref="K576" si="2270">I576-I575-J576+J575</f>
        <v>708.05999999999767</v>
      </c>
      <c r="L576" s="168">
        <f t="shared" ref="L576" si="2271">K576/I575</f>
        <v>1.95024272680323E-3</v>
      </c>
      <c r="M576" s="178">
        <f t="shared" ref="M576" si="2272">I576-J576</f>
        <v>63770.559999999998</v>
      </c>
      <c r="N576" s="180">
        <f t="shared" ref="N576" si="2273">M576/J576</f>
        <v>0.21256853333333334</v>
      </c>
      <c r="O576" s="179">
        <f t="shared" ref="O576" si="2274">N576/(A576/365.25)</f>
        <v>8.6363355728587318E-2</v>
      </c>
      <c r="P576" s="178" t="b">
        <f t="shared" ref="P576" si="2275">L576&gt;D576</f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ref="S576" si="2276">I576-R576</f>
        <v>130372.06</v>
      </c>
      <c r="T576" s="170">
        <v>-31543</v>
      </c>
      <c r="U576" s="170">
        <f t="shared" ref="U576" si="2277">M576-T576</f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1823"/>
        <v>1.0420213306571622</v>
      </c>
      <c r="Y576" s="171">
        <f t="shared" ref="Y576" si="2278">O576/W576</f>
        <v>0.30276276861220686</v>
      </c>
      <c r="Z576" s="784">
        <f t="shared" si="1825"/>
        <v>-0.12967191110265527</v>
      </c>
    </row>
    <row r="577" spans="1:26" ht="20.100000000000001" customHeight="1" x14ac:dyDescent="0.25">
      <c r="A577" s="160">
        <f t="shared" ref="A577" si="2279">B577-$B$2</f>
        <v>900</v>
      </c>
      <c r="B577" s="169">
        <v>43133</v>
      </c>
      <c r="C577" s="211">
        <v>2762.13</v>
      </c>
      <c r="D577" s="168">
        <f t="shared" ref="D577" si="2280">(C577-C576)/C576</f>
        <v>-2.1208513171602886E-2</v>
      </c>
      <c r="E577" s="205">
        <f t="shared" ref="E577" si="2281">(C577-$C$2)/$C$2</f>
        <v>0.31377352029070987</v>
      </c>
      <c r="F577" s="215">
        <v>7240.94</v>
      </c>
      <c r="G577" s="168">
        <f t="shared" ref="G577" si="2282">(F577-F576)/F576</f>
        <v>-1.9621276330718439E-2</v>
      </c>
      <c r="H577" s="199">
        <f t="shared" ref="H577" si="2283">(F577-F$2)/F$2</f>
        <v>0.422106565587132</v>
      </c>
      <c r="I577" s="217">
        <v>356559.21</v>
      </c>
      <c r="J577" s="170">
        <v>300000</v>
      </c>
      <c r="K577" s="170">
        <f t="shared" ref="K577" si="2284">I577-I576-J577+J576</f>
        <v>-7211.3499999999767</v>
      </c>
      <c r="L577" s="168">
        <f t="shared" ref="L577" si="2285">K577/I576</f>
        <v>-1.9823896689165767E-2</v>
      </c>
      <c r="M577" s="178">
        <f t="shared" ref="M577" si="2286">I577-J577</f>
        <v>56559.210000000021</v>
      </c>
      <c r="N577" s="180">
        <f t="shared" ref="N577" si="2287">M577/J577</f>
        <v>0.18853070000000008</v>
      </c>
      <c r="O577" s="179">
        <f t="shared" ref="O577" si="2288">N577/(A577/365.25)</f>
        <v>7.651204241666669E-2</v>
      </c>
      <c r="P577" s="178" t="b">
        <f t="shared" ref="P577" si="2289">L577&gt;D577</f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ref="S577" si="2290">I577-R577</f>
        <v>99785.760000000009</v>
      </c>
      <c r="T577" s="170">
        <v>-31380</v>
      </c>
      <c r="U577" s="170">
        <f t="shared" ref="U577" si="2291">M577-T577</f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1823"/>
        <v>0.94959356941894857</v>
      </c>
      <c r="Y577" s="171">
        <f t="shared" ref="Y577" si="2292">O577/W577</f>
        <v>0.26815815305107671</v>
      </c>
      <c r="Z577" s="784">
        <f t="shared" si="1825"/>
        <v>-0.12524282029070979</v>
      </c>
    </row>
    <row r="578" spans="1:26" ht="20.100000000000001" customHeight="1" x14ac:dyDescent="0.25">
      <c r="A578" s="160">
        <f t="shared" ref="A578" si="2293">B578-$B$2</f>
        <v>903</v>
      </c>
      <c r="B578" s="169">
        <v>43136</v>
      </c>
      <c r="C578" s="211">
        <v>2648.94</v>
      </c>
      <c r="D578" s="168">
        <f t="shared" ref="D578" si="2294">(C578-C577)/C577</f>
        <v>-4.0979244278871757E-2</v>
      </c>
      <c r="E578" s="205">
        <f t="shared" ref="E578" si="2295">(C578-$C$2)/$C$2</f>
        <v>0.25993607427560356</v>
      </c>
      <c r="F578" s="215">
        <v>6967.52</v>
      </c>
      <c r="G578" s="168">
        <f t="shared" ref="G578" si="2296">(F578-F577)/F577</f>
        <v>-3.7760290790974538E-2</v>
      </c>
      <c r="H578" s="199">
        <f t="shared" ref="H578" si="2297">(F578-F$2)/F$2</f>
        <v>0.36840740813480777</v>
      </c>
      <c r="I578" s="217">
        <v>346151.51</v>
      </c>
      <c r="J578" s="170">
        <v>300000</v>
      </c>
      <c r="K578" s="170">
        <f t="shared" ref="K578" si="2298">I578-I577-J578+J577</f>
        <v>-10407.700000000012</v>
      </c>
      <c r="L578" s="168">
        <f t="shared" ref="L578" si="2299">K578/I577</f>
        <v>-2.918926144131857E-2</v>
      </c>
      <c r="M578" s="178">
        <f t="shared" ref="M578" si="2300">I578-J578</f>
        <v>46151.510000000009</v>
      </c>
      <c r="N578" s="180">
        <f t="shared" ref="N578" si="2301">M578/J578</f>
        <v>0.1538383666666667</v>
      </c>
      <c r="O578" s="179">
        <f t="shared" ref="O578" si="2302">N578/(A578/365.25)</f>
        <v>6.2225319407530469E-2</v>
      </c>
      <c r="P578" s="178" t="b">
        <f t="shared" ref="P578" si="2303">L578&gt;D578</f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ref="S578" si="2304">I578-R578</f>
        <v>80176.94</v>
      </c>
      <c r="T578" s="170">
        <v>-31901</v>
      </c>
      <c r="U578" s="170">
        <f t="shared" ref="U578" si="2305">M578-T578</f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1823"/>
        <v>0.76877064417325591</v>
      </c>
      <c r="Y578" s="171">
        <f t="shared" ref="Y578" si="2306">O578/W578</f>
        <v>0.21775628578151066</v>
      </c>
      <c r="Z578" s="784">
        <f t="shared" si="1825"/>
        <v>-0.10609770760893686</v>
      </c>
    </row>
    <row r="579" spans="1:26" ht="20.100000000000001" customHeight="1" x14ac:dyDescent="0.25">
      <c r="A579" s="160">
        <f t="shared" ref="A579" si="2307">B579-$B$2</f>
        <v>904</v>
      </c>
      <c r="B579" s="169">
        <v>43137</v>
      </c>
      <c r="C579" s="211">
        <v>2695.14</v>
      </c>
      <c r="D579" s="168">
        <f t="shared" ref="D579" si="2308">(C579-C578)/C578</f>
        <v>1.7440938639606718E-2</v>
      </c>
      <c r="E579" s="205">
        <f t="shared" ref="E579" si="2309">(C579-$C$2)/$C$2</f>
        <v>0.28191054203687133</v>
      </c>
      <c r="F579" s="215">
        <v>7115.88</v>
      </c>
      <c r="G579" s="168">
        <f t="shared" ref="G579" si="2310">(F579-F578)/F578</f>
        <v>2.1293085631616367E-2</v>
      </c>
      <c r="H579" s="199">
        <f t="shared" ref="H579" si="2311">(F579-F$2)/F$2</f>
        <v>0.39754502425516042</v>
      </c>
      <c r="I579" s="217">
        <v>368455.72</v>
      </c>
      <c r="J579" s="170">
        <v>315000</v>
      </c>
      <c r="K579" s="170">
        <f t="shared" ref="K579" si="2312">I579-I578-J579+J578</f>
        <v>7304.2099999999627</v>
      </c>
      <c r="L579" s="168">
        <f t="shared" ref="L579" si="2313">K579/I578</f>
        <v>2.1101193520721498E-2</v>
      </c>
      <c r="M579" s="178">
        <f t="shared" ref="M579" si="2314">I579-J579</f>
        <v>53455.719999999972</v>
      </c>
      <c r="N579" s="180">
        <f t="shared" ref="N579" si="2315">M579/J579</f>
        <v>0.16970069841269833</v>
      </c>
      <c r="O579" s="179">
        <f t="shared" ref="O579" si="2316">N579/(A579/365.25)</f>
        <v>6.8565464707121757E-2</v>
      </c>
      <c r="P579" s="178" t="b">
        <f t="shared" ref="P579" si="2317">L579&gt;D579</f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ref="S579" si="2318">I579-R579</f>
        <v>71456.31</v>
      </c>
      <c r="T579" s="170">
        <v>-31165</v>
      </c>
      <c r="U579" s="170">
        <f t="shared" ref="U579" si="2319">M579-T579</f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1823"/>
        <v>0.8307585157991072</v>
      </c>
      <c r="Y579" s="171">
        <f t="shared" ref="Y579" si="2320">O579/W579</f>
        <v>0.23988103052421256</v>
      </c>
      <c r="Z579" s="784">
        <f t="shared" si="1825"/>
        <v>-0.11220984362417299</v>
      </c>
    </row>
    <row r="580" spans="1:26" ht="20.100000000000001" customHeight="1" x14ac:dyDescent="0.25">
      <c r="A580" s="160">
        <f t="shared" ref="A580" si="2321">B580-$B$2</f>
        <v>905</v>
      </c>
      <c r="B580" s="169">
        <v>43138</v>
      </c>
      <c r="C580" s="211">
        <v>2681.66</v>
      </c>
      <c r="D580" s="168">
        <f t="shared" ref="D580" si="2322">(C580-C579)/C579</f>
        <v>-5.0015954644285713E-3</v>
      </c>
      <c r="E580" s="205">
        <f t="shared" ref="E580" si="2323">(C580-$C$2)/$C$2</f>
        <v>0.27549894408401654</v>
      </c>
      <c r="F580" s="215">
        <v>7051.98</v>
      </c>
      <c r="G580" s="168">
        <f t="shared" ref="G580" si="2324">(F580-F579)/F579</f>
        <v>-8.979915344272324E-3</v>
      </c>
      <c r="H580" s="199">
        <f t="shared" ref="H580" si="2325">(F580-F$2)/F$2</f>
        <v>0.38499518824754009</v>
      </c>
      <c r="I580" s="217">
        <v>449047.22</v>
      </c>
      <c r="J580" s="170">
        <v>400000</v>
      </c>
      <c r="K580" s="170">
        <f t="shared" ref="K580" si="2326">I580-I579-J580+J579</f>
        <v>-4408.5</v>
      </c>
      <c r="L580" s="168">
        <f t="shared" ref="L580" si="2327">K580/I579</f>
        <v>-1.196480271767799E-2</v>
      </c>
      <c r="M580" s="178">
        <f t="shared" ref="M580" si="2328">I580-J580</f>
        <v>49047.219999999972</v>
      </c>
      <c r="N580" s="180">
        <f t="shared" ref="N580" si="2329">M580/J580</f>
        <v>0.12261804999999994</v>
      </c>
      <c r="O580" s="179">
        <f t="shared" ref="O580" si="2330">N580/(A580/365.25)</f>
        <v>4.9487561063535884E-2</v>
      </c>
      <c r="P580" s="178" t="b">
        <f t="shared" ref="P580" si="2331">L580&gt;D580</f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ref="S580" si="2332">I580-R580</f>
        <v>156456.31</v>
      </c>
      <c r="T580" s="170">
        <v>-30966</v>
      </c>
      <c r="U580" s="170">
        <f t="shared" ref="U580" si="2333">M580-T580</f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1823"/>
        <v>0.81138893002854873</v>
      </c>
      <c r="Y580" s="171">
        <f t="shared" ref="Y580" si="2334">O580/W580</f>
        <v>0.17321287746308356</v>
      </c>
      <c r="Z580" s="784">
        <f t="shared" si="1825"/>
        <v>-0.15288089408401662</v>
      </c>
    </row>
    <row r="581" spans="1:26" ht="20.100000000000001" customHeight="1" x14ac:dyDescent="0.25">
      <c r="A581" s="160">
        <f t="shared" ref="A581" si="2335">B581-$B$2</f>
        <v>906</v>
      </c>
      <c r="B581" s="169">
        <v>43139</v>
      </c>
      <c r="C581" s="211">
        <v>2581</v>
      </c>
      <c r="D581" s="168">
        <f t="shared" ref="D581" si="2336">(C581-C580)/C580</f>
        <v>-3.753645130255135E-2</v>
      </c>
      <c r="E581" s="205">
        <f t="shared" ref="E581" si="2337">(C581-$C$2)/$C$2</f>
        <v>0.2276212400829512</v>
      </c>
      <c r="F581" s="215">
        <v>6777.15</v>
      </c>
      <c r="G581" s="168">
        <f t="shared" ref="G581" si="2338">(F581-F580)/F580</f>
        <v>-3.8972033386368073E-2</v>
      </c>
      <c r="H581" s="199">
        <f t="shared" ref="H581" si="2339">(F581-F$2)/F$2</f>
        <v>0.33101910953119779</v>
      </c>
      <c r="I581" s="217">
        <v>437852.33</v>
      </c>
      <c r="J581" s="170">
        <v>400000</v>
      </c>
      <c r="K581" s="170">
        <f t="shared" ref="K581" si="2340">I581-I580-J581+J580</f>
        <v>-11194.889999999956</v>
      </c>
      <c r="L581" s="168">
        <f t="shared" ref="L581" si="2341">K581/I580</f>
        <v>-2.4930318018670634E-2</v>
      </c>
      <c r="M581" s="178">
        <f t="shared" ref="M581" si="2342">I581-J581</f>
        <v>37852.330000000016</v>
      </c>
      <c r="N581" s="180">
        <f t="shared" ref="N581" si="2343">M581/J581</f>
        <v>9.4630825000000043E-2</v>
      </c>
      <c r="O581" s="179">
        <f t="shared" ref="O581" si="2344">N581/(A581/365.25)</f>
        <v>3.8150009747516575E-2</v>
      </c>
      <c r="P581" s="178" t="b">
        <f t="shared" ref="P581" si="2345">L581&gt;D581</f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ref="S581" si="2346">I581-R581</f>
        <v>140541.12</v>
      </c>
      <c r="T581" s="170">
        <v>-31340</v>
      </c>
      <c r="U581" s="170">
        <f t="shared" ref="U581" si="2347">M581-T581</f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1823"/>
        <v>0.65926446357098534</v>
      </c>
      <c r="Y581" s="171">
        <f t="shared" ref="Y581" si="2348">O581/W581</f>
        <v>0.13341410269255552</v>
      </c>
      <c r="Z581" s="784">
        <f t="shared" si="1825"/>
        <v>-0.13299041508295117</v>
      </c>
    </row>
    <row r="582" spans="1:26" ht="20.100000000000001" customHeight="1" x14ac:dyDescent="0.25">
      <c r="A582" s="160">
        <f t="shared" ref="A582" si="2349">B582-$B$2</f>
        <v>907</v>
      </c>
      <c r="B582" s="169">
        <v>43140</v>
      </c>
      <c r="C582" s="211">
        <v>2619.5500000000002</v>
      </c>
      <c r="D582" s="168">
        <f t="shared" ref="D582" si="2350">(C582-C581)/C581</f>
        <v>1.4936071290197668E-2</v>
      </c>
      <c r="E582" s="205">
        <f t="shared" ref="E582" si="2351">(C582-$C$2)/$C$2</f>
        <v>0.24595707844219103</v>
      </c>
      <c r="F582" s="215">
        <v>6874.49</v>
      </c>
      <c r="G582" s="168">
        <f t="shared" ref="G582" si="2352">(F582-F581)/F581</f>
        <v>1.4362969684897066E-2</v>
      </c>
      <c r="H582" s="199">
        <f t="shared" ref="H582" si="2353">(F582-F$2)/F$2</f>
        <v>0.35013649665141311</v>
      </c>
      <c r="I582" s="217">
        <v>439997.44</v>
      </c>
      <c r="J582" s="170">
        <v>400000</v>
      </c>
      <c r="K582" s="170">
        <f t="shared" ref="K582" si="2354">I582-I581-J582+J581</f>
        <v>2145.109999999986</v>
      </c>
      <c r="L582" s="168">
        <f t="shared" ref="L582" si="2355">K582/I581</f>
        <v>4.8991631493658736E-3</v>
      </c>
      <c r="M582" s="178">
        <f t="shared" ref="M582" si="2356">I582-J582</f>
        <v>39997.440000000002</v>
      </c>
      <c r="N582" s="180">
        <f t="shared" ref="N582" si="2357">M582/J582</f>
        <v>9.9993600000000002E-2</v>
      </c>
      <c r="O582" s="179">
        <f t="shared" ref="O582" si="2358">N582/(A582/365.25)</f>
        <v>4.0267543991179718E-2</v>
      </c>
      <c r="P582" s="178" t="b">
        <f t="shared" ref="P582" si="2359">L582&gt;D582</f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ref="S582" si="2360">I582-R582</f>
        <v>140253.03999999998</v>
      </c>
      <c r="T582" s="170">
        <v>-31484</v>
      </c>
      <c r="U582" s="170">
        <f t="shared" ref="U582" si="2361">M582-T582</f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1823"/>
        <v>0.71051484790035679</v>
      </c>
      <c r="Y582" s="171">
        <f t="shared" ref="Y582" si="2362">O582/W582</f>
        <v>0.14093391413707773</v>
      </c>
      <c r="Z582" s="784">
        <f t="shared" si="1825"/>
        <v>-0.14596347844219104</v>
      </c>
    </row>
    <row r="583" spans="1:26" ht="20.100000000000001" customHeight="1" x14ac:dyDescent="0.25">
      <c r="A583" s="160">
        <f t="shared" ref="A583" si="2363">B583-$B$2</f>
        <v>910</v>
      </c>
      <c r="B583" s="169">
        <v>43143</v>
      </c>
      <c r="C583" s="211">
        <v>2656</v>
      </c>
      <c r="D583" s="168">
        <f t="shared" ref="D583" si="2364">(C583-C582)/C582</f>
        <v>1.3914603653299161E-2</v>
      </c>
      <c r="E583" s="205">
        <f t="shared" ref="E583" si="2365">(C583-$C$2)/$C$2</f>
        <v>0.26329407735773669</v>
      </c>
      <c r="F583" s="215">
        <v>6981.96</v>
      </c>
      <c r="G583" s="168">
        <f t="shared" ref="G583" si="2366">(F583-F582)/F582</f>
        <v>1.5633159696210229E-2</v>
      </c>
      <c r="H583" s="199">
        <f t="shared" ref="H583" si="2367">(F583-F$2)/F$2</f>
        <v>0.37124339611524643</v>
      </c>
      <c r="I583" s="217">
        <v>444241.95</v>
      </c>
      <c r="J583" s="170">
        <v>400000</v>
      </c>
      <c r="K583" s="170">
        <f t="shared" ref="K583" si="2368">I583-I582-J583+J582</f>
        <v>4244.5100000000093</v>
      </c>
      <c r="L583" s="168">
        <f t="shared" ref="L583" si="2369">K583/I582</f>
        <v>9.6466697624422761E-3</v>
      </c>
      <c r="M583" s="178">
        <f t="shared" ref="M583" si="2370">I583-J583</f>
        <v>44241.950000000012</v>
      </c>
      <c r="N583" s="180">
        <f t="shared" ref="N583" si="2371">M583/J583</f>
        <v>0.11060487500000003</v>
      </c>
      <c r="O583" s="179">
        <f t="shared" ref="O583" si="2372">N583/(A583/365.25)</f>
        <v>4.4393879773351658E-2</v>
      </c>
      <c r="P583" s="178" t="b">
        <f t="shared" ref="P583" si="2373">L583&gt;D583</f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ref="S583" si="2374">I583-R583</f>
        <v>139501.69</v>
      </c>
      <c r="T583" s="170">
        <v>-31937</v>
      </c>
      <c r="U583" s="170">
        <f t="shared" ref="U583" si="2375">M583-T583</f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1823"/>
        <v>0.75720401910154334</v>
      </c>
      <c r="Y583" s="171">
        <f t="shared" ref="Y583" si="2376">O583/W583</f>
        <v>0.15547561511065239</v>
      </c>
      <c r="Z583" s="784">
        <f t="shared" si="1825"/>
        <v>-0.15268920235773664</v>
      </c>
    </row>
    <row r="584" spans="1:26" ht="20.100000000000001" customHeight="1" x14ac:dyDescent="0.25">
      <c r="A584" s="160">
        <f t="shared" ref="A584" si="2377">B584-$B$2</f>
        <v>911</v>
      </c>
      <c r="B584" s="169">
        <v>43144</v>
      </c>
      <c r="C584" s="211">
        <v>2662.94</v>
      </c>
      <c r="D584" s="168">
        <f t="shared" ref="D584" si="2378">(C584-C583)/C583</f>
        <v>2.6129518072289361E-3</v>
      </c>
      <c r="E584" s="205">
        <f t="shared" ref="E584" si="2379">(C584-$C$2)/$C$2</f>
        <v>0.26659500390023022</v>
      </c>
      <c r="F584" s="215">
        <v>7013.51</v>
      </c>
      <c r="G584" s="168">
        <f t="shared" ref="G584" si="2380">(F584-F583)/F583</f>
        <v>4.518788420443569E-3</v>
      </c>
      <c r="H584" s="199">
        <f t="shared" ref="H584" si="2381">(F584-F$2)/F$2</f>
        <v>0.37743975489522175</v>
      </c>
      <c r="I584" s="217">
        <v>443416.54</v>
      </c>
      <c r="J584" s="170">
        <v>400000</v>
      </c>
      <c r="K584" s="170">
        <f t="shared" ref="K584" si="2382">I584-I583-J584+J583</f>
        <v>-825.4100000000326</v>
      </c>
      <c r="L584" s="168">
        <f t="shared" ref="L584" si="2383">K584/I583</f>
        <v>-1.858019036698431E-3</v>
      </c>
      <c r="M584" s="178">
        <f t="shared" ref="M584" si="2384">I584-J584</f>
        <v>43416.539999999979</v>
      </c>
      <c r="N584" s="180">
        <f t="shared" ref="N584" si="2385">M584/J584</f>
        <v>0.10854134999999995</v>
      </c>
      <c r="O584" s="179">
        <f t="shared" ref="O584" si="2386">N584/(A584/365.25)</f>
        <v>4.3517813487925334E-2</v>
      </c>
      <c r="P584" s="178" t="b">
        <f t="shared" ref="P584" si="2387">L584&gt;D584</f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ref="S584" si="2388">I584-R584</f>
        <v>139501.69</v>
      </c>
      <c r="T584" s="170">
        <v>-31767</v>
      </c>
      <c r="U584" s="170">
        <f t="shared" ref="U584" si="2389">M584-T584</f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1823"/>
        <v>0.76647518943588588</v>
      </c>
      <c r="Y584" s="171">
        <f t="shared" ref="Y584" si="2390">O584/W584</f>
        <v>0.15253644111929254</v>
      </c>
      <c r="Z584" s="784">
        <f t="shared" ref="Z584" si="2391">-(E584-N584)</f>
        <v>-0.15805365390023027</v>
      </c>
    </row>
    <row r="585" spans="1:26" ht="20.100000000000001" customHeight="1" x14ac:dyDescent="0.25">
      <c r="A585" s="160">
        <f t="shared" ref="A585" si="2392">B585-$B$2</f>
        <v>912</v>
      </c>
      <c r="B585" s="169">
        <v>43145</v>
      </c>
      <c r="C585" s="211">
        <v>2698.63</v>
      </c>
      <c r="D585" s="168">
        <f t="shared" ref="D585" si="2393">(C585-C584)/C584</f>
        <v>1.3402479965752159E-2</v>
      </c>
      <c r="E585" s="205">
        <f t="shared" ref="E585" si="2394">(C585-$C$2)/$C$2</f>
        <v>0.28357051806472483</v>
      </c>
      <c r="F585" s="215">
        <v>7143.61</v>
      </c>
      <c r="G585" s="168">
        <f t="shared" ref="G585" si="2395">(F585-F584)/F584</f>
        <v>1.854991295371354E-2</v>
      </c>
      <c r="H585" s="199">
        <f t="shared" ref="H585" si="2396">(F585-F$2)/F$2</f>
        <v>0.40299114244751261</v>
      </c>
      <c r="I585" s="217">
        <v>451561.53</v>
      </c>
      <c r="J585" s="170">
        <v>400000</v>
      </c>
      <c r="K585" s="170">
        <f t="shared" ref="K585" si="2397">I585-I584-J585+J584</f>
        <v>8144.9900000000489</v>
      </c>
      <c r="L585" s="168">
        <f t="shared" ref="L585" si="2398">K585/I584</f>
        <v>1.8368710377831304E-2</v>
      </c>
      <c r="M585" s="178">
        <f t="shared" ref="M585" si="2399">I585-J585</f>
        <v>51561.530000000028</v>
      </c>
      <c r="N585" s="180">
        <f t="shared" ref="N585" si="2400">M585/J585</f>
        <v>0.12890382500000008</v>
      </c>
      <c r="O585" s="179">
        <f t="shared" ref="O585" si="2401">N585/(A585/365.25)</f>
        <v>5.1625133861019766E-2</v>
      </c>
      <c r="P585" s="178" t="b">
        <f t="shared" ref="P585" si="2402">L585&gt;D585</f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ref="S585" si="2403">I585-R585</f>
        <v>142097.62000000005</v>
      </c>
      <c r="T585" s="170">
        <v>-31599</v>
      </c>
      <c r="U585" s="170">
        <f t="shared" ref="U585" si="2404">M585-T585</f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1823"/>
        <v>0.8135680008967473</v>
      </c>
      <c r="Y585" s="171">
        <f t="shared" ref="Y585" si="2405">O585/W585</f>
        <v>0.18095667178025537</v>
      </c>
      <c r="Z585" s="784">
        <f t="shared" ref="Z585" si="2406">-(E585-N585)</f>
        <v>-0.15466669306472475</v>
      </c>
    </row>
    <row r="586" spans="1:26" ht="20.100000000000001" customHeight="1" x14ac:dyDescent="0.25">
      <c r="A586" s="160">
        <f t="shared" ref="A586" si="2407">B586-$B$2</f>
        <v>913</v>
      </c>
      <c r="B586" s="169">
        <v>43146</v>
      </c>
      <c r="C586" s="211">
        <v>2731.2</v>
      </c>
      <c r="D586" s="168">
        <f t="shared" ref="D586" si="2408">(C586-C585)/C585</f>
        <v>1.206908690706014E-2</v>
      </c>
      <c r="E586" s="205">
        <f t="shared" ref="E586" si="2409">(C586-$C$2)/$C$2</f>
        <v>0.29906204219858817</v>
      </c>
      <c r="F586" s="215">
        <v>7256.43</v>
      </c>
      <c r="G586" s="168">
        <f t="shared" ref="G586" si="2410">(F586-F585)/F585</f>
        <v>1.5793135403528554E-2</v>
      </c>
      <c r="H586" s="199">
        <f t="shared" ref="H586" si="2411">(F586-F$2)/F$2</f>
        <v>0.42514877153013741</v>
      </c>
      <c r="I586" s="217">
        <v>450705.94</v>
      </c>
      <c r="J586" s="170">
        <v>400000</v>
      </c>
      <c r="K586" s="170">
        <f t="shared" ref="K586" si="2412">I586-I585-J586+J585</f>
        <v>-855.59000000002561</v>
      </c>
      <c r="L586" s="168">
        <f t="shared" ref="L586" si="2413">K586/I585</f>
        <v>-1.8947362500078904E-3</v>
      </c>
      <c r="M586" s="178">
        <f t="shared" ref="M586" si="2414">I586-J586</f>
        <v>50705.94</v>
      </c>
      <c r="N586" s="180">
        <f t="shared" ref="N586" si="2415">M586/J586</f>
        <v>0.12676485000000001</v>
      </c>
      <c r="O586" s="179">
        <f t="shared" ref="O586" si="2416">N586/(A586/365.25)</f>
        <v>5.071288221522454E-2</v>
      </c>
      <c r="P586" s="178" t="b">
        <f t="shared" ref="P586" si="2417">L586&gt;D586</f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ref="S586" si="2418">I586-R586</f>
        <v>142537.26</v>
      </c>
      <c r="T586" s="170">
        <v>-31476</v>
      </c>
      <c r="U586" s="170">
        <f t="shared" ref="U586" si="2419">M586-T586</f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1823"/>
        <v>0.85653179754406417</v>
      </c>
      <c r="Y586" s="171">
        <f t="shared" ref="Y586" si="2420">O586/W586</f>
        <v>0.17790880212019669</v>
      </c>
      <c r="Z586" s="784">
        <f t="shared" ref="Z586" si="2421">-(E586-N586)</f>
        <v>-0.17229719219858816</v>
      </c>
    </row>
    <row r="587" spans="1:26" ht="20.100000000000001" customHeight="1" x14ac:dyDescent="0.25">
      <c r="A587" s="160">
        <f t="shared" ref="A587" si="2422">B587-$B$2</f>
        <v>914</v>
      </c>
      <c r="B587" s="169">
        <v>43147</v>
      </c>
      <c r="C587" s="211">
        <v>2732.22</v>
      </c>
      <c r="D587" s="168">
        <f t="shared" ref="D587" si="2423">(C587-C586)/C586</f>
        <v>3.7346221441124117E-4</v>
      </c>
      <c r="E587" s="205">
        <f t="shared" ref="E587" si="2424">(C587-$C$2)/$C$2</f>
        <v>0.29954719278552527</v>
      </c>
      <c r="F587" s="215">
        <v>7239.46</v>
      </c>
      <c r="G587" s="168">
        <f t="shared" ref="G587" si="2425">(F587-F586)/F586</f>
        <v>-2.3386155451096827E-3</v>
      </c>
      <c r="H587" s="199">
        <f t="shared" ref="H587" si="2426">(F587-F$2)/F$2</f>
        <v>0.42181589645894302</v>
      </c>
      <c r="I587" s="217">
        <v>447551.93</v>
      </c>
      <c r="J587" s="170">
        <v>400000</v>
      </c>
      <c r="K587" s="170">
        <f t="shared" ref="K587" si="2427">I587-I586-J587+J586</f>
        <v>-3154.0100000000093</v>
      </c>
      <c r="L587" s="168">
        <f t="shared" ref="L587" si="2428">K587/I586</f>
        <v>-6.9979330647384173E-3</v>
      </c>
      <c r="M587" s="178">
        <f t="shared" ref="M587" si="2429">I587-J587</f>
        <v>47551.929999999993</v>
      </c>
      <c r="N587" s="180">
        <f t="shared" ref="N587" si="2430">M587/J587</f>
        <v>0.11887982499999998</v>
      </c>
      <c r="O587" s="179">
        <f t="shared" ref="O587" si="2431">N587/(A587/365.25)</f>
        <v>4.7506407091083142E-2</v>
      </c>
      <c r="P587" s="178" t="b">
        <f t="shared" ref="P587" si="2432">L587&gt;D587</f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ref="S587" si="2433">I587-R587</f>
        <v>134685.06</v>
      </c>
      <c r="T587" s="170">
        <v>-31310</v>
      </c>
      <c r="U587" s="170">
        <f t="shared" ref="U587" si="2434">M587-T587</f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1823"/>
        <v>0.85771719333403895</v>
      </c>
      <c r="Y587" s="171">
        <f t="shared" ref="Y587" si="2435">O587/W587</f>
        <v>0.16677746418174394</v>
      </c>
      <c r="Z587" s="784">
        <f t="shared" ref="Z587" si="2436">-(E587-N587)</f>
        <v>-0.18066736778552528</v>
      </c>
    </row>
    <row r="588" spans="1:26" ht="20.100000000000001" customHeight="1" x14ac:dyDescent="0.25">
      <c r="A588" s="160">
        <f t="shared" ref="A588" si="2437">B588-$B$2</f>
        <v>918</v>
      </c>
      <c r="B588" s="169">
        <v>43151</v>
      </c>
      <c r="C588" s="211">
        <v>2716.26</v>
      </c>
      <c r="D588" s="168">
        <f t="shared" ref="D588" si="2438">(C588-C587)/C587</f>
        <v>-5.8414036936994766E-3</v>
      </c>
      <c r="E588" s="205">
        <f t="shared" ref="E588" si="2439">(C588-$C$2)/$C$2</f>
        <v>0.29195601301345109</v>
      </c>
      <c r="F588" s="215">
        <v>7234.3</v>
      </c>
      <c r="G588" s="168">
        <f t="shared" ref="G588" si="2440">(F588-F587)/F587</f>
        <v>-7.1276034400353822E-4</v>
      </c>
      <c r="H588" s="199">
        <f t="shared" ref="H588" si="2441">(F588-F$2)/F$2</f>
        <v>0.42080248247147328</v>
      </c>
      <c r="I588" s="217">
        <v>445228.37</v>
      </c>
      <c r="J588" s="170">
        <v>400000</v>
      </c>
      <c r="K588" s="170">
        <f t="shared" ref="K588" si="2442">I588-I587-J588+J587</f>
        <v>-2323.5599999999977</v>
      </c>
      <c r="L588" s="168">
        <f t="shared" ref="L588" si="2443">K588/I587</f>
        <v>-5.191710378726325E-3</v>
      </c>
      <c r="M588" s="178">
        <f t="shared" ref="M588" si="2444">I588-J588</f>
        <v>45228.369999999995</v>
      </c>
      <c r="N588" s="180">
        <f t="shared" ref="N588" si="2445">M588/J588</f>
        <v>0.11307092499999999</v>
      </c>
      <c r="O588" s="179">
        <f t="shared" ref="O588" si="2446">N588/(A588/365.25)</f>
        <v>4.4988186662581697E-2</v>
      </c>
      <c r="P588" s="178" t="b">
        <f t="shared" ref="P588" si="2447">L588&gt;D588</f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1823"/>
        <v>0.83268182638552635</v>
      </c>
      <c r="Y588" s="171">
        <f t="shared" ref="Y588" si="2448">O588/W588</f>
        <v>0.15805819884557604</v>
      </c>
      <c r="Z588" s="784">
        <f t="shared" ref="Z588" si="2449">-(E588-N588)</f>
        <v>-0.1788850880134511</v>
      </c>
    </row>
    <row r="589" spans="1:26" ht="20.100000000000001" customHeight="1" x14ac:dyDescent="0.25">
      <c r="A589" s="160">
        <f t="shared" ref="A589" si="2450">B589-$B$2</f>
        <v>919</v>
      </c>
      <c r="B589" s="169">
        <v>43152</v>
      </c>
      <c r="C589" s="211">
        <v>2701.33</v>
      </c>
      <c r="D589" s="168">
        <f t="shared" ref="D589" si="2451">(C589-C588)/C588</f>
        <v>-5.496528314668069E-3</v>
      </c>
      <c r="E589" s="205">
        <f t="shared" ref="E589" si="2452">(C589-$C$2)/$C$2</f>
        <v>0.284854740206617</v>
      </c>
      <c r="F589" s="215">
        <v>7218.22</v>
      </c>
      <c r="G589" s="168">
        <f t="shared" ref="G589" si="2453">(F589-F588)/F588</f>
        <v>-2.2227444258601284E-3</v>
      </c>
      <c r="H589" s="199">
        <f t="shared" ref="H589" si="2454">(F589-F$2)/F$2</f>
        <v>0.41764440167331157</v>
      </c>
      <c r="I589" s="217">
        <v>442526.81</v>
      </c>
      <c r="J589" s="170">
        <v>400000</v>
      </c>
      <c r="K589" s="170">
        <f t="shared" ref="K589" si="2455">I589-I588-J589+J588</f>
        <v>-2701.5599999999977</v>
      </c>
      <c r="L589" s="168">
        <f t="shared" ref="L589" si="2456">K589/I588</f>
        <v>-6.0678074040969084E-3</v>
      </c>
      <c r="M589" s="178">
        <f t="shared" ref="M589" si="2457">I589-J589</f>
        <v>42526.81</v>
      </c>
      <c r="N589" s="180">
        <f t="shared" ref="N589" si="2458">M589/J589</f>
        <v>0.106317025</v>
      </c>
      <c r="O589" s="179">
        <f t="shared" ref="O589" si="2459">N589/(A589/365.25)</f>
        <v>4.2254943831610443E-2</v>
      </c>
      <c r="P589" s="178" t="b">
        <f t="shared" ref="P589" si="2460">L589&gt;D589</f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" si="2461">I589-R589</f>
        <v>115344.20000000001</v>
      </c>
      <c r="T589" s="170">
        <v>-31702</v>
      </c>
      <c r="U589" s="170">
        <f t="shared" ref="U589" si="2462"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1823"/>
        <v>0.81191782747081387</v>
      </c>
      <c r="Y589" s="171">
        <f t="shared" ref="Y589" si="2463">O589/W589</f>
        <v>0.14856498042386479</v>
      </c>
      <c r="Z589" s="784">
        <f t="shared" ref="Z589" si="2464">-(E589-N589)</f>
        <v>-0.17853771520661699</v>
      </c>
    </row>
    <row r="590" spans="1:26" ht="20.100000000000001" customHeight="1" x14ac:dyDescent="0.25">
      <c r="A590" s="160">
        <f t="shared" ref="A590" si="2465">B590-$B$2</f>
        <v>920</v>
      </c>
      <c r="B590" s="169">
        <v>43153</v>
      </c>
      <c r="C590" s="211">
        <v>2703.96</v>
      </c>
      <c r="D590" s="168">
        <f t="shared" ref="D590" si="2466">(C590-C589)/C589</f>
        <v>9.735944886408211E-4</v>
      </c>
      <c r="E590" s="205">
        <f t="shared" ref="E590" si="2467">(C590-$C$2)/$C$2</f>
        <v>0.2861056677003862</v>
      </c>
      <c r="F590" s="215">
        <v>7210.08</v>
      </c>
      <c r="G590" s="168">
        <f t="shared" ref="G590" si="2468">(F590-F589)/F589</f>
        <v>-1.1277018433907982E-3</v>
      </c>
      <c r="H590" s="199">
        <f t="shared" ref="H590" si="2469">(F590-F$2)/F$2</f>
        <v>0.41604572146827196</v>
      </c>
      <c r="I590" s="217">
        <v>441168.86</v>
      </c>
      <c r="J590" s="170">
        <v>400000</v>
      </c>
      <c r="K590" s="170">
        <f t="shared" ref="K590" si="2470">I590-I589-J590+J589</f>
        <v>-1357.9500000000116</v>
      </c>
      <c r="L590" s="168">
        <f t="shared" ref="L590" si="2471">K590/I589</f>
        <v>-3.0686276386282939E-3</v>
      </c>
      <c r="M590" s="178">
        <f t="shared" ref="M590" si="2472">I590-J590</f>
        <v>41168.859999999986</v>
      </c>
      <c r="N590" s="180">
        <f t="shared" ref="N590" si="2473">M590/J590</f>
        <v>0.10292214999999996</v>
      </c>
      <c r="O590" s="179">
        <f t="shared" ref="O590" si="2474">N590/(A590/365.25)</f>
        <v>4.0861212269021729E-2</v>
      </c>
      <c r="P590" s="178" t="b">
        <f t="shared" ref="P590" si="2475">L590&gt;D590</f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ref="S590" si="2476">I590-R590</f>
        <v>115344.20999999996</v>
      </c>
      <c r="T590" s="170">
        <v>-31901</v>
      </c>
      <c r="U590" s="170">
        <f t="shared" ref="U590" si="2477"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1823"/>
        <v>0.81528936483996495</v>
      </c>
      <c r="Y590" s="171">
        <f t="shared" ref="Y590" si="2478">O590/W590</f>
        <v>0.14378229295437445</v>
      </c>
      <c r="Z590" s="784">
        <f t="shared" ref="Z590" si="2479">-(E590-N590)</f>
        <v>-0.18318351770038624</v>
      </c>
    </row>
    <row r="591" spans="1:26" ht="20.100000000000001" customHeight="1" x14ac:dyDescent="0.25">
      <c r="A591" s="160">
        <f t="shared" ref="A591" si="2480">B591-$B$2</f>
        <v>921</v>
      </c>
      <c r="B591" s="169">
        <v>43154</v>
      </c>
      <c r="C591" s="211">
        <v>2747.3</v>
      </c>
      <c r="D591" s="168">
        <f t="shared" ref="D591" si="2481">(C591-C590)/C590</f>
        <v>1.6028343614550564E-2</v>
      </c>
      <c r="E591" s="205">
        <f t="shared" ref="E591" si="2482">(C591-$C$2)/$C$2</f>
        <v>0.306719811266909</v>
      </c>
      <c r="F591" s="215">
        <v>7337.39</v>
      </c>
      <c r="G591" s="168">
        <f t="shared" ref="G591" si="2483">(F591-F590)/F590</f>
        <v>1.7657224330381964E-2</v>
      </c>
      <c r="H591" s="199">
        <f t="shared" ref="H591" si="2484">(F591-F$2)/F$2</f>
        <v>0.4410491584343148</v>
      </c>
      <c r="I591" s="217">
        <v>446261.7</v>
      </c>
      <c r="J591" s="170">
        <v>400000</v>
      </c>
      <c r="K591" s="170">
        <f t="shared" ref="K591" si="2485">I591-I590-J591+J590</f>
        <v>5092.8400000000256</v>
      </c>
      <c r="L591" s="168">
        <f t="shared" ref="L591" si="2486">K591/I590</f>
        <v>1.154396980784189E-2</v>
      </c>
      <c r="M591" s="178">
        <f t="shared" ref="M591" si="2487">I591-J591</f>
        <v>46261.700000000012</v>
      </c>
      <c r="N591" s="180">
        <f t="shared" ref="N591" si="2488">M591/J591</f>
        <v>0.11565425000000003</v>
      </c>
      <c r="O591" s="179">
        <f t="shared" ref="O591" si="2489">N591/(A591/365.25)</f>
        <v>4.5866139861563529E-2</v>
      </c>
      <c r="P591" s="178" t="b">
        <f t="shared" ref="P591" si="2490">L591&gt;D591</f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ref="S591" si="2491">I591-R591</f>
        <v>117928.15000000002</v>
      </c>
      <c r="T591" s="170">
        <v>-31711</v>
      </c>
      <c r="U591" s="170">
        <f t="shared" ref="U591" si="2492"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1823"/>
        <v>0.87149911342020359</v>
      </c>
      <c r="Y591" s="171">
        <f t="shared" ref="Y591" si="2493">O591/W591</f>
        <v>0.16147910023595438</v>
      </c>
      <c r="Z591" s="784">
        <f t="shared" ref="Z591" si="2494">-(E591-N591)</f>
        <v>-0.19106556126690899</v>
      </c>
    </row>
    <row r="592" spans="1:26" ht="20.100000000000001" customHeight="1" x14ac:dyDescent="0.25">
      <c r="A592" s="160">
        <f t="shared" ref="A592" si="2495">B592-$B$2</f>
        <v>924</v>
      </c>
      <c r="B592" s="169">
        <v>43157</v>
      </c>
      <c r="C592" s="211">
        <v>2779.6</v>
      </c>
      <c r="D592" s="168">
        <f t="shared" ref="D592" si="2496">(C592-C591)/C591</f>
        <v>1.175699777963809E-2</v>
      </c>
      <c r="E592" s="205">
        <f t="shared" ref="E592" si="2497">(C592-$C$2)/$C$2</f>
        <v>0.32208291318658311</v>
      </c>
      <c r="F592" s="215">
        <v>7421.46</v>
      </c>
      <c r="G592" s="168">
        <f t="shared" ref="G592" si="2498">(F592-F591)/F591</f>
        <v>1.1457752688626296E-2</v>
      </c>
      <c r="H592" s="199">
        <f t="shared" ref="H592" si="2499">(F592-F$2)/F$2</f>
        <v>0.45756034330380824</v>
      </c>
      <c r="I592" s="217">
        <v>445461.4</v>
      </c>
      <c r="J592" s="170">
        <v>400000</v>
      </c>
      <c r="K592" s="170">
        <f t="shared" ref="K592" si="2500">I592-I591-J592+J591</f>
        <v>-800.29999999998836</v>
      </c>
      <c r="L592" s="168">
        <f t="shared" ref="L592" si="2501">K592/I591</f>
        <v>-1.7933423370188129E-3</v>
      </c>
      <c r="M592" s="178">
        <f t="shared" ref="M592" si="2502">I592-J592</f>
        <v>45461.400000000023</v>
      </c>
      <c r="N592" s="180">
        <f t="shared" ref="N592" si="2503">M592/J592</f>
        <v>0.11365350000000006</v>
      </c>
      <c r="O592" s="179">
        <f t="shared" ref="O592" si="2504">N592/(A592/365.25)</f>
        <v>4.4926342938311707E-2</v>
      </c>
      <c r="P592" s="178" t="b">
        <f t="shared" ref="P592" si="2505">L592&gt;D592</f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ref="S592" si="2506">I592-R592</f>
        <v>114934.44</v>
      </c>
      <c r="T592" s="170">
        <v>-31425</v>
      </c>
      <c r="U592" s="170">
        <f t="shared" ref="U592" si="2507"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1823"/>
        <v>0.91168581284014205</v>
      </c>
      <c r="Y592" s="171">
        <f t="shared" ref="Y592" si="2508">O592/W592</f>
        <v>0.15830252602292741</v>
      </c>
      <c r="Z592" s="784">
        <f t="shared" ref="Z592" si="2509">-(E592-N592)</f>
        <v>-0.20842941318658303</v>
      </c>
    </row>
    <row r="593" spans="1:26" ht="20.100000000000001" customHeight="1" x14ac:dyDescent="0.25">
      <c r="A593" s="160">
        <f t="shared" ref="A593" si="2510">B593-$B$2</f>
        <v>925</v>
      </c>
      <c r="B593" s="169">
        <v>43158</v>
      </c>
      <c r="C593" s="211">
        <v>2744.28</v>
      </c>
      <c r="D593" s="168">
        <f t="shared" ref="D593" si="2511">(C593-C592)/C592</f>
        <v>-1.270686429702105E-2</v>
      </c>
      <c r="E593" s="205">
        <f t="shared" ref="E593" si="2512">(C593-$C$2)/$C$2</f>
        <v>0.30528338501931096</v>
      </c>
      <c r="F593" s="215">
        <v>7330.35</v>
      </c>
      <c r="G593" s="168">
        <f t="shared" ref="G593" si="2513">(F593-F592)/F592</f>
        <v>-1.2276560137762606E-2</v>
      </c>
      <c r="H593" s="199">
        <f t="shared" ref="H593" si="2514">(F593-F$2)/F$2</f>
        <v>0.4396665160948211</v>
      </c>
      <c r="I593" s="217">
        <v>439475.96</v>
      </c>
      <c r="J593" s="170">
        <v>400000</v>
      </c>
      <c r="K593" s="170">
        <f t="shared" ref="K593" si="2515">I593-I592-J593+J592</f>
        <v>-5985.4400000000023</v>
      </c>
      <c r="L593" s="168">
        <f t="shared" ref="L593" si="2516">K593/I592</f>
        <v>-1.3436495283317482E-2</v>
      </c>
      <c r="M593" s="178">
        <f t="shared" ref="M593" si="2517">I593-J593</f>
        <v>39475.960000000021</v>
      </c>
      <c r="N593" s="180">
        <f t="shared" ref="N593" si="2518">M593/J593</f>
        <v>9.8689900000000053E-2</v>
      </c>
      <c r="O593" s="179">
        <f t="shared" ref="O593" si="2519">N593/(A593/365.25)</f>
        <v>3.8969174027027043E-2</v>
      </c>
      <c r="P593" s="178" t="b">
        <f t="shared" ref="P593" si="2520">L593&gt;D593</f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ref="S593" si="2521">I593-R593</f>
        <v>114934.45000000001</v>
      </c>
      <c r="T593" s="170">
        <v>-31811</v>
      </c>
      <c r="U593" s="170">
        <f t="shared" ref="U593" si="2522"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1823"/>
        <v>0.86228304434011871</v>
      </c>
      <c r="Y593" s="171">
        <f t="shared" ref="Y593" si="2523">O593/W593</f>
        <v>0.13735713805139502</v>
      </c>
      <c r="Z593" s="784">
        <f t="shared" ref="Z593" si="2524">-(E593-N593)</f>
        <v>-0.20659348501931091</v>
      </c>
    </row>
    <row r="594" spans="1:26" ht="20.100000000000001" customHeight="1" x14ac:dyDescent="0.25">
      <c r="A594" s="160">
        <f t="shared" ref="A594" si="2525">B594-$B$2</f>
        <v>926</v>
      </c>
      <c r="B594" s="169">
        <v>43159</v>
      </c>
      <c r="C594" s="211">
        <v>2713.83</v>
      </c>
      <c r="D594" s="168">
        <f t="shared" ref="D594" si="2526">(C594-C593)/C593</f>
        <v>-1.1095806550352104E-2</v>
      </c>
      <c r="E594" s="205">
        <f t="shared" ref="E594" si="2527">(C594-$C$2)/$C$2</f>
        <v>0.29080021308574794</v>
      </c>
      <c r="F594" s="215">
        <v>7273</v>
      </c>
      <c r="G594" s="168">
        <f t="shared" ref="G594" si="2528">(F594-F593)/F593</f>
        <v>-7.8236373433738307E-3</v>
      </c>
      <c r="H594" s="199">
        <f t="shared" ref="H594" si="2529">(F594-F$2)/F$2</f>
        <v>0.42840308737749677</v>
      </c>
      <c r="I594" s="406">
        <v>434359.8</v>
      </c>
      <c r="J594" s="170">
        <v>400000</v>
      </c>
      <c r="K594" s="170">
        <f t="shared" ref="K594" si="2530">I594-I593-J594+J593</f>
        <v>-5116.1600000000326</v>
      </c>
      <c r="L594" s="168">
        <f t="shared" ref="L594" si="2531">K594/I593</f>
        <v>-1.1641501391794064E-2</v>
      </c>
      <c r="M594" s="406">
        <f t="shared" ref="M594" si="2532">I594-J594</f>
        <v>34359.799999999988</v>
      </c>
      <c r="N594" s="180">
        <f t="shared" ref="N594" si="2533">M594/J594</f>
        <v>8.5899499999999976E-2</v>
      </c>
      <c r="O594" s="179">
        <f t="shared" ref="O594" si="2534">N594/(A594/365.25)</f>
        <v>3.3882065199784005E-2</v>
      </c>
      <c r="P594" s="178" t="b">
        <f t="shared" ref="P594" si="2535">L594&gt;D594</f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ref="S594" si="2536">I594-R594</f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1823"/>
        <v>0.81998311366562426</v>
      </c>
      <c r="Y594" s="171">
        <f t="shared" ref="Y594" si="2537">O594/W594</f>
        <v>0.11948061021999884</v>
      </c>
      <c r="Z594" s="784">
        <f t="shared" ref="Z594" si="2538">-(E594-N594)</f>
        <v>-0.20490071308574798</v>
      </c>
    </row>
    <row r="595" spans="1:26" ht="20.100000000000001" customHeight="1" x14ac:dyDescent="0.25">
      <c r="A595" s="160">
        <f t="shared" ref="A595" si="2539">B595-$B$2</f>
        <v>927</v>
      </c>
      <c r="B595" s="169">
        <v>43160</v>
      </c>
      <c r="C595" s="211">
        <v>2677.67</v>
      </c>
      <c r="D595" s="168">
        <f t="shared" ref="D595" si="2540">(C595-C594)/C594</f>
        <v>-1.3324342350110308E-2</v>
      </c>
      <c r="E595" s="205">
        <f t="shared" ref="E595" si="2541">(C595-$C$2)/$C$2</f>
        <v>0.27360114914099809</v>
      </c>
      <c r="F595" s="215">
        <v>7180.56</v>
      </c>
      <c r="G595" s="168">
        <f t="shared" ref="G595" si="2542">(F595-F594)/F594</f>
        <v>-1.2710023374123415E-2</v>
      </c>
      <c r="H595" s="199">
        <f t="shared" ref="H595" si="2543">(F595-F$2)/F$2</f>
        <v>0.41024805074925874</v>
      </c>
      <c r="I595" s="217">
        <v>432219.29</v>
      </c>
      <c r="J595" s="170">
        <v>400000</v>
      </c>
      <c r="K595" s="170">
        <f t="shared" ref="K595" si="2544">I595-I594-J595+J594</f>
        <v>-2140.5100000000093</v>
      </c>
      <c r="L595" s="168">
        <f t="shared" ref="L595" si="2545">K595/I594</f>
        <v>-4.9279652490861478E-3</v>
      </c>
      <c r="M595" s="178">
        <f t="shared" ref="M595" si="2546">I595-J595</f>
        <v>32219.289999999979</v>
      </c>
      <c r="N595" s="180">
        <f t="shared" ref="N595" si="2547">M595/J595</f>
        <v>8.0548224999999946E-2</v>
      </c>
      <c r="O595" s="179">
        <f t="shared" ref="O595" si="2548">N595/(A595/365.25)</f>
        <v>3.1737043345469236E-2</v>
      </c>
      <c r="P595" s="178" t="b">
        <f t="shared" ref="P595" si="2549">L595&gt;D595</f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ref="S595" si="2550">I595-R595</f>
        <v>101602.63999999996</v>
      </c>
      <c r="T595" s="170">
        <v>-32527</v>
      </c>
      <c r="U595" s="170">
        <f t="shared" ref="U595" si="2551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1823"/>
        <v>0.76971411027259673</v>
      </c>
      <c r="Y595" s="171">
        <f t="shared" ref="Y595" si="2552">O595/W595</f>
        <v>0.1120023715278791</v>
      </c>
      <c r="Z595" s="784">
        <f t="shared" ref="Z595" si="2553">-(E595-N595)</f>
        <v>-0.19305292414099814</v>
      </c>
    </row>
    <row r="596" spans="1:26" ht="20.100000000000001" customHeight="1" x14ac:dyDescent="0.25">
      <c r="A596" s="160">
        <f t="shared" ref="A596" si="2554">B596-$B$2</f>
        <v>928</v>
      </c>
      <c r="B596" s="169">
        <v>43161</v>
      </c>
      <c r="C596" s="211">
        <v>2691.25</v>
      </c>
      <c r="D596" s="168">
        <f t="shared" ref="D596" si="2555">(C596-C595)/C595</f>
        <v>5.0715734201749758E-3</v>
      </c>
      <c r="E596" s="205">
        <f t="shared" ref="E596" si="2556">(C596-$C$2)/$C$2</f>
        <v>0.28006031087688588</v>
      </c>
      <c r="F596" s="215">
        <v>7257.86</v>
      </c>
      <c r="G596" s="168">
        <f t="shared" ref="G596" si="2557">(F596-F595)/F595</f>
        <v>1.076517708925199E-2</v>
      </c>
      <c r="H596" s="199">
        <f t="shared" ref="H596" si="2558">(F596-F$2)/F$2</f>
        <v>0.4254296207553469</v>
      </c>
      <c r="I596" s="217">
        <v>435569.11</v>
      </c>
      <c r="J596" s="170">
        <v>400000</v>
      </c>
      <c r="K596" s="170">
        <f t="shared" ref="K596" si="2559">I596-I595-J596+J595</f>
        <v>3349.820000000007</v>
      </c>
      <c r="L596" s="168">
        <f t="shared" ref="L596" si="2560">K596/I595</f>
        <v>7.7502787994492501E-3</v>
      </c>
      <c r="M596" s="178">
        <f t="shared" ref="M596" si="2561">I596-J596</f>
        <v>35569.109999999986</v>
      </c>
      <c r="N596" s="180">
        <f t="shared" ref="N596" si="2562">M596/J596</f>
        <v>8.8922774999999968E-2</v>
      </c>
      <c r="O596" s="179">
        <f t="shared" ref="O596" si="2563">N596/(A596/365.25)</f>
        <v>3.4998969362877143E-2</v>
      </c>
      <c r="P596" s="178" t="b">
        <f t="shared" ref="P596" si="2564">L596&gt;D596</f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ref="S596" si="2565">I596-R596</f>
        <v>95090.459999999963</v>
      </c>
      <c r="T596" s="170">
        <v>-31997</v>
      </c>
      <c r="U596" s="170">
        <f t="shared" ref="U596" si="2566">M596-T596</f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1823"/>
        <v>0.78751847515137252</v>
      </c>
      <c r="Y596" s="171">
        <f t="shared" ref="Y596" si="2567">O596/W596</f>
        <v>0.1236010093513092</v>
      </c>
      <c r="Z596" s="784">
        <f t="shared" ref="Z596" si="2568">-(E596-N596)</f>
        <v>-0.19113753587688592</v>
      </c>
    </row>
    <row r="597" spans="1:26" ht="20.100000000000001" customHeight="1" x14ac:dyDescent="0.25">
      <c r="A597" s="160">
        <f t="shared" ref="A597" si="2569">B597-$B$2</f>
        <v>931</v>
      </c>
      <c r="B597" s="169">
        <v>43164</v>
      </c>
      <c r="C597" s="211">
        <v>2720.94</v>
      </c>
      <c r="D597" s="168">
        <f t="shared" ref="D597" si="2570">(C597-C596)/C596</f>
        <v>1.1032048304691148E-2</v>
      </c>
      <c r="E597" s="205">
        <f t="shared" ref="E597" si="2571">(C597-$C$2)/$C$2</f>
        <v>0.29418199805939765</v>
      </c>
      <c r="F597" s="215">
        <v>7330.7</v>
      </c>
      <c r="G597" s="168">
        <f t="shared" ref="G597" si="2572">(F597-F596)/F596</f>
        <v>1.0036016125965526E-2</v>
      </c>
      <c r="H597" s="199">
        <f t="shared" ref="H597" si="2573">(F597-F$2)/F$2</f>
        <v>0.43973525541567648</v>
      </c>
      <c r="I597" s="217">
        <v>441211.16</v>
      </c>
      <c r="J597" s="170">
        <v>400000</v>
      </c>
      <c r="K597" s="170">
        <f t="shared" ref="K597" si="2574">I597-I596-J597+J596</f>
        <v>5642.0499999999884</v>
      </c>
      <c r="L597" s="168">
        <f t="shared" ref="L597" si="2575">K597/I596</f>
        <v>1.2953283119640851E-2</v>
      </c>
      <c r="M597" s="178">
        <f t="shared" ref="M597" si="2576">I597-J597</f>
        <v>41211.159999999974</v>
      </c>
      <c r="N597" s="180">
        <f t="shared" ref="N597" si="2577">M597/J597</f>
        <v>0.10302789999999994</v>
      </c>
      <c r="O597" s="179">
        <f t="shared" ref="O597" si="2578">N597/(A597/365.25)</f>
        <v>4.0419914581095569E-2</v>
      </c>
      <c r="P597" s="178" t="b">
        <f t="shared" ref="P597" si="2579">L597&gt;D597</f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ref="S597" si="2580">I597-R597</f>
        <v>95090.459999999963</v>
      </c>
      <c r="T597" s="170">
        <v>-31972</v>
      </c>
      <c r="U597" s="170">
        <f t="shared" ref="U597" si="2581">M597-T597</f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1823"/>
        <v>0.82425954557302428</v>
      </c>
      <c r="Y597" s="171">
        <f t="shared" ref="Y597" si="2582">O597/W597</f>
        <v>0.14280720806744707</v>
      </c>
      <c r="Z597" s="784">
        <f t="shared" ref="Z597" si="2583">-(E597-N597)</f>
        <v>-0.1911540980593977</v>
      </c>
    </row>
    <row r="598" spans="1:26" ht="20.100000000000001" customHeight="1" x14ac:dyDescent="0.25">
      <c r="A598" s="160">
        <f t="shared" ref="A598" si="2584">B598-$B$2</f>
        <v>932</v>
      </c>
      <c r="B598" s="169">
        <v>43165</v>
      </c>
      <c r="C598" s="211">
        <v>2728.12</v>
      </c>
      <c r="D598" s="168">
        <f t="shared" ref="D598" si="2585">(C598-C597)/C597</f>
        <v>2.6387939462097056E-3</v>
      </c>
      <c r="E598" s="205">
        <f t="shared" ref="E598" si="2586">(C598-$C$2)/$C$2</f>
        <v>0.29759707768117039</v>
      </c>
      <c r="F598" s="215">
        <v>7372</v>
      </c>
      <c r="G598" s="168">
        <f t="shared" ref="G598" si="2587">(F598-F597)/F597</f>
        <v>5.6338412429918269E-3</v>
      </c>
      <c r="H598" s="199">
        <f t="shared" ref="H598" si="2588">(F598-F$2)/F$2</f>
        <v>0.44784649527662673</v>
      </c>
      <c r="I598" s="217">
        <v>440897.46</v>
      </c>
      <c r="J598" s="170">
        <v>400000</v>
      </c>
      <c r="K598" s="170">
        <f t="shared" ref="K598" si="2589">I598-I597-J598+J597</f>
        <v>-313.69999999995343</v>
      </c>
      <c r="L598" s="168">
        <f t="shared" ref="L598" si="2590">K598/I597</f>
        <v>-7.1099742807945621E-4</v>
      </c>
      <c r="M598" s="178">
        <f t="shared" ref="M598" si="2591">I598-J598</f>
        <v>40897.460000000021</v>
      </c>
      <c r="N598" s="180">
        <f t="shared" ref="N598" si="2592">M598/J598</f>
        <v>0.10224365000000005</v>
      </c>
      <c r="O598" s="179">
        <f t="shared" ref="O598" si="2593">N598/(A598/365.25)</f>
        <v>4.0069198672210322E-2</v>
      </c>
      <c r="P598" s="178" t="b">
        <f t="shared" ref="P598" si="2594">L598&gt;D598</f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ref="S598" si="2595">I598-R598</f>
        <v>85683.450000000012</v>
      </c>
      <c r="T598" s="170">
        <v>-32140</v>
      </c>
      <c r="U598" s="170">
        <f t="shared" ref="U598" si="2596">M598-T598</f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1823"/>
        <v>0.8335920568605808</v>
      </c>
      <c r="Y598" s="171">
        <f t="shared" ref="Y598" si="2597">O598/W598</f>
        <v>0.14168663679665203</v>
      </c>
      <c r="Z598" s="784">
        <f t="shared" ref="Z598" si="2598">-(E598-N598)</f>
        <v>-0.19535342768117034</v>
      </c>
    </row>
    <row r="599" spans="1:26" ht="20.100000000000001" customHeight="1" x14ac:dyDescent="0.25">
      <c r="A599" s="160">
        <f t="shared" ref="A599" si="2599">B599-$B$2</f>
        <v>933</v>
      </c>
      <c r="B599" s="169">
        <v>43166</v>
      </c>
      <c r="C599" s="211">
        <v>2726.8</v>
      </c>
      <c r="D599" s="168">
        <f t="shared" ref="D599" si="2600">(C599-C598)/C598</f>
        <v>-4.8384968403138753E-4</v>
      </c>
      <c r="E599" s="205">
        <f t="shared" ref="E599" si="2601">(C599-$C$2)/$C$2</f>
        <v>0.29696923574513429</v>
      </c>
      <c r="F599" s="215">
        <v>7396.64</v>
      </c>
      <c r="G599" s="168">
        <f t="shared" ref="G599" si="2602">(F599-F598)/F598</f>
        <v>3.3423765599566368E-3</v>
      </c>
      <c r="H599" s="199">
        <f t="shared" ref="H599" si="2603">(F599-F$2)/F$2</f>
        <v>0.45268574346485468</v>
      </c>
      <c r="I599" s="217">
        <v>435779.16</v>
      </c>
      <c r="J599" s="170">
        <v>400000</v>
      </c>
      <c r="K599" s="170">
        <f t="shared" ref="K599" si="2604">I599-I598-J599+J598</f>
        <v>-5118.3000000000466</v>
      </c>
      <c r="L599" s="168">
        <f t="shared" ref="L599" si="2605">K599/I598</f>
        <v>-1.1608821697453295E-2</v>
      </c>
      <c r="M599" s="178">
        <f t="shared" ref="M599" si="2606">I599-J599</f>
        <v>35779.159999999974</v>
      </c>
      <c r="N599" s="180">
        <f t="shared" ref="N599" si="2607">M599/J599</f>
        <v>8.9447899999999941E-2</v>
      </c>
      <c r="O599" s="179">
        <f t="shared" ref="O599" si="2608">N599/(A599/365.25)</f>
        <v>3.5016983360128595E-2</v>
      </c>
      <c r="P599" s="178" t="b">
        <f t="shared" ref="P599" si="2609">L599&gt;D599</f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ref="S599" si="2610">I599-R599</f>
        <v>77605.699999999953</v>
      </c>
      <c r="T599" s="170">
        <v>-33468</v>
      </c>
      <c r="U599" s="170">
        <f t="shared" ref="U599" si="2611">M599-T599</f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1823"/>
        <v>0.83163155814580803</v>
      </c>
      <c r="Y599" s="171">
        <f t="shared" ref="Y599" si="2612">O599/W599</f>
        <v>0.12387755389225667</v>
      </c>
      <c r="Z599" s="784">
        <f t="shared" ref="Z599" si="2613">-(E599-N599)</f>
        <v>-0.20752133574513434</v>
      </c>
    </row>
    <row r="600" spans="1:26" ht="20.100000000000001" customHeight="1" x14ac:dyDescent="0.25">
      <c r="A600" s="160">
        <f t="shared" ref="A600" si="2614">B600-$B$2</f>
        <v>934</v>
      </c>
      <c r="B600" s="169">
        <v>43167</v>
      </c>
      <c r="C600" s="211">
        <v>2738.97</v>
      </c>
      <c r="D600" s="168">
        <f t="shared" ref="D600" si="2615">(C600-C599)/C599</f>
        <v>4.4631069385358728E-3</v>
      </c>
      <c r="E600" s="205">
        <f t="shared" ref="E600" si="2616">(C600-$C$2)/$C$2</f>
        <v>0.30275774814025597</v>
      </c>
      <c r="F600" s="215">
        <v>7427.94</v>
      </c>
      <c r="G600" s="168">
        <f t="shared" ref="G600" si="2617">(F600-F599)/F599</f>
        <v>4.2316511280796783E-3</v>
      </c>
      <c r="H600" s="199">
        <f t="shared" ref="H600" si="2618">(F600-F$2)/F$2</f>
        <v>0.45883300272993299</v>
      </c>
      <c r="I600" s="217">
        <v>429670.56</v>
      </c>
      <c r="J600" s="170">
        <v>400000</v>
      </c>
      <c r="K600" s="170">
        <f t="shared" ref="K600" si="2619">I600-I599-J600+J599</f>
        <v>-6108.5999999999767</v>
      </c>
      <c r="L600" s="168">
        <f t="shared" ref="L600" si="2620">K600/I599</f>
        <v>-1.4017650591643659E-2</v>
      </c>
      <c r="M600" s="178">
        <f t="shared" ref="M600" si="2621">I600-J600</f>
        <v>29670.559999999998</v>
      </c>
      <c r="N600" s="180">
        <f t="shared" ref="N600" si="2622">M600/J600</f>
        <v>7.417639999999999E-2</v>
      </c>
      <c r="O600" s="179">
        <f t="shared" ref="O600" si="2623">N600/(A600/365.25)</f>
        <v>2.9007419807280513E-2</v>
      </c>
      <c r="P600" s="178" t="b">
        <f t="shared" ref="P600" si="2624">L600&gt;D600</f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ref="S600" si="2625">I600-R600</f>
        <v>60329.349999999977</v>
      </c>
      <c r="T600" s="170">
        <v>-40317</v>
      </c>
      <c r="U600" s="170">
        <f t="shared" ref="U600" si="2626">M600-T600</f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1823"/>
        <v>0.84749854065243946</v>
      </c>
      <c r="Y600" s="171">
        <f t="shared" ref="Y600" si="2627">O600/W600</f>
        <v>0.10264674808116893</v>
      </c>
      <c r="Z600" s="784">
        <f t="shared" ref="Z600" si="2628">-(E600-N600)</f>
        <v>-0.22858134814025599</v>
      </c>
    </row>
    <row r="601" spans="1:26" ht="20.100000000000001" customHeight="1" x14ac:dyDescent="0.25">
      <c r="A601" s="160">
        <f t="shared" ref="A601" si="2629">B601-$B$2</f>
        <v>935</v>
      </c>
      <c r="B601" s="169">
        <v>43168</v>
      </c>
      <c r="C601" s="211">
        <v>2786.57</v>
      </c>
      <c r="D601" s="168">
        <f t="shared" ref="D601" si="2630">(C601-C600)/C600</f>
        <v>1.7378795678667663E-2</v>
      </c>
      <c r="E601" s="205">
        <f t="shared" ref="E601" si="2631">(C601-$C$2)/$C$2</f>
        <v>0.32539810886398662</v>
      </c>
      <c r="F601" s="215">
        <v>7560.81</v>
      </c>
      <c r="G601" s="168">
        <f t="shared" ref="G601" si="2632">(F601-F600)/F600</f>
        <v>1.7887866622509175E-2</v>
      </c>
      <c r="H601" s="199">
        <f t="shared" ref="H601" si="2633">(F601-F$2)/F$2</f>
        <v>0.48492841290728061</v>
      </c>
      <c r="I601" s="217">
        <v>438280.9</v>
      </c>
      <c r="J601" s="170">
        <v>400000</v>
      </c>
      <c r="K601" s="170">
        <f t="shared" ref="K601" si="2634">I601-I600-J601+J600</f>
        <v>8610.3400000000256</v>
      </c>
      <c r="L601" s="168">
        <f t="shared" ref="L601" si="2635">K601/I600</f>
        <v>2.0039399487830921E-2</v>
      </c>
      <c r="M601" s="178">
        <f t="shared" ref="M601" si="2636">I601-J601</f>
        <v>38280.900000000023</v>
      </c>
      <c r="N601" s="180">
        <f t="shared" ref="N601" si="2637">M601/J601</f>
        <v>9.5702250000000058E-2</v>
      </c>
      <c r="O601" s="179">
        <f t="shared" ref="O601" si="2638">N601/(A601/365.25)</f>
        <v>3.7385290708556174E-2</v>
      </c>
      <c r="P601" s="178" t="b">
        <f t="shared" ref="P601" si="2639">L601&gt;D601</f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ref="S601" si="2640">I601-R601</f>
        <v>63300.19</v>
      </c>
      <c r="T601" s="170">
        <v>-37017</v>
      </c>
      <c r="U601" s="170">
        <f t="shared" ref="U601" si="2641">M601-T601</f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1823"/>
        <v>0.90786803546627559</v>
      </c>
      <c r="Y601" s="171">
        <f t="shared" ref="Y601" si="2642">O601/W601</f>
        <v>0.13227032806369307</v>
      </c>
      <c r="Z601" s="784">
        <f t="shared" ref="Z601" si="2643">-(E601-N601)</f>
        <v>-0.22969585886398658</v>
      </c>
    </row>
    <row r="602" spans="1:26" ht="20.100000000000001" customHeight="1" x14ac:dyDescent="0.25">
      <c r="A602" s="160">
        <f t="shared" ref="A602" si="2644">B602-$B$2</f>
        <v>938</v>
      </c>
      <c r="B602" s="169">
        <v>43171</v>
      </c>
      <c r="C602" s="211">
        <v>2783.02</v>
      </c>
      <c r="D602" s="168">
        <f t="shared" ref="D602" si="2645">(C602-C601)/C601</f>
        <v>-1.273967637633428E-3</v>
      </c>
      <c r="E602" s="205">
        <f t="shared" ref="E602" si="2646">(C602-$C$2)/$C$2</f>
        <v>0.32370959456631337</v>
      </c>
      <c r="F602" s="215">
        <v>7588.32</v>
      </c>
      <c r="G602" s="168">
        <f t="shared" ref="G602" si="2647">(F602-F601)/F601</f>
        <v>3.6384990497049003E-3</v>
      </c>
      <c r="H602" s="199">
        <f t="shared" ref="H602" si="2648">(F602-F$2)/F$2</f>
        <v>0.49033132352652353</v>
      </c>
      <c r="I602" s="217">
        <v>437286.12</v>
      </c>
      <c r="J602" s="170">
        <v>400000</v>
      </c>
      <c r="K602" s="170">
        <f t="shared" ref="K602" si="2649">I602-I601-J602+J601</f>
        <v>-994.78000000002794</v>
      </c>
      <c r="L602" s="168">
        <f t="shared" ref="L602" si="2650">K602/I601</f>
        <v>-2.2697315808195792E-3</v>
      </c>
      <c r="M602" s="178">
        <f t="shared" ref="M602" si="2651">I602-J602</f>
        <v>37286.119999999995</v>
      </c>
      <c r="N602" s="180">
        <f t="shared" ref="N602" si="2652">M602/J602</f>
        <v>9.3215299999999987E-2</v>
      </c>
      <c r="O602" s="179">
        <f t="shared" ref="O602" si="2653">N602/(A602/365.25)</f>
        <v>3.6297322308102335E-2</v>
      </c>
      <c r="P602" s="178" t="b">
        <f t="shared" ref="P602" si="2654">L602&gt;D602</f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ref="S602" si="2655">I602-R602</f>
        <v>63300.19</v>
      </c>
      <c r="T602" s="170">
        <v>-37287</v>
      </c>
      <c r="U602" s="170">
        <f t="shared" ref="U602" si="2656">M602-T602</f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1823"/>
        <v>0.90099015764336643</v>
      </c>
      <c r="Y602" s="171">
        <f t="shared" ref="Y602" si="2657">O602/W602</f>
        <v>0.1285257694668818</v>
      </c>
      <c r="Z602" s="784">
        <f t="shared" ref="Z602" si="2658">-(E602-N602)</f>
        <v>-0.23049429456631337</v>
      </c>
    </row>
    <row r="603" spans="1:26" ht="20.100000000000001" customHeight="1" x14ac:dyDescent="0.25">
      <c r="A603" s="160">
        <f t="shared" ref="A603" si="2659">B603-$B$2</f>
        <v>939</v>
      </c>
      <c r="B603" s="169">
        <v>43172</v>
      </c>
      <c r="C603" s="211">
        <v>2765.31</v>
      </c>
      <c r="D603" s="168">
        <f t="shared" ref="D603" si="2660">(C603-C602)/C602</f>
        <v>-6.3635906317597562E-3</v>
      </c>
      <c r="E603" s="205">
        <f t="shared" ref="E603" si="2661">(C603-$C$2)/$C$2</f>
        <v>0.31528604859116066</v>
      </c>
      <c r="F603" s="215">
        <v>7511.01</v>
      </c>
      <c r="G603" s="168">
        <f t="shared" ref="G603" si="2662">(F603-F602)/F602</f>
        <v>-1.0188025808083936E-2</v>
      </c>
      <c r="H603" s="199">
        <f t="shared" ref="H603" si="2663">(F603-F$2)/F$2</f>
        <v>0.47514778953983944</v>
      </c>
      <c r="I603" s="217">
        <v>435615.49</v>
      </c>
      <c r="J603" s="170">
        <v>400000</v>
      </c>
      <c r="K603" s="170">
        <f t="shared" ref="K603" si="2664">I603-I602-J603+J602</f>
        <v>-1670.6300000000047</v>
      </c>
      <c r="L603" s="168">
        <f t="shared" ref="L603" si="2665">K603/I602</f>
        <v>-3.8204505553480744E-3</v>
      </c>
      <c r="M603" s="178">
        <f t="shared" ref="M603" si="2666">I603-J603</f>
        <v>35615.489999999991</v>
      </c>
      <c r="N603" s="180">
        <f t="shared" ref="N603" si="2667">M603/J603</f>
        <v>8.9038724999999971E-2</v>
      </c>
      <c r="O603" s="179">
        <f t="shared" ref="O603" si="2668">N603/(A603/365.25)</f>
        <v>3.463407274361021E-2</v>
      </c>
      <c r="P603" s="178" t="b">
        <f t="shared" ref="P603" si="2669">L603&gt;D603</f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ref="S603" si="2670">I603-R603</f>
        <v>56662.909999999974</v>
      </c>
      <c r="T603" s="170">
        <v>-37227</v>
      </c>
      <c r="U603" s="170">
        <f t="shared" ref="U603" si="2671">M603-T603</f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672">E603/(A603/365.25)/V603</f>
        <v>0.87689760622217827</v>
      </c>
      <c r="Y603" s="171">
        <f t="shared" ref="Y603" si="2673">O603/W603</f>
        <v>0.12273260843724872</v>
      </c>
      <c r="Z603" s="784">
        <f t="shared" ref="Z603" si="2674">-(E603-N603)</f>
        <v>-0.22624732359116068</v>
      </c>
    </row>
    <row r="604" spans="1:26" ht="20.100000000000001" customHeight="1" x14ac:dyDescent="0.25">
      <c r="A604" s="160">
        <f t="shared" ref="A604" si="2675">B604-$B$2</f>
        <v>940</v>
      </c>
      <c r="B604" s="169">
        <v>43173</v>
      </c>
      <c r="C604" s="211">
        <v>2749.48</v>
      </c>
      <c r="D604" s="168">
        <f t="shared" ref="D604" si="2676">(C604-C603)/C603</f>
        <v>-5.7244938180529229E-3</v>
      </c>
      <c r="E604" s="205">
        <f t="shared" ref="E604" si="2677">(C604-$C$2)/$C$2</f>
        <v>0.30775670173702935</v>
      </c>
      <c r="F604" s="215">
        <v>7496.81</v>
      </c>
      <c r="G604" s="168">
        <f t="shared" ref="G604" si="2678">(F604-F603)/F603</f>
        <v>-1.8905579941978267E-3</v>
      </c>
      <c r="H604" s="199">
        <f t="shared" ref="H604" si="2679">(F604-F$2)/F$2</f>
        <v>0.47235893709370164</v>
      </c>
      <c r="I604" s="217">
        <v>429341.77</v>
      </c>
      <c r="J604" s="170">
        <v>400000</v>
      </c>
      <c r="K604" s="170">
        <f t="shared" ref="K604" si="2680">I604-I603-J604+J603</f>
        <v>-6273.7199999999721</v>
      </c>
      <c r="L604" s="168">
        <f t="shared" ref="L604" si="2681">K604/I603</f>
        <v>-1.4401967202773189E-2</v>
      </c>
      <c r="M604" s="178">
        <f t="shared" ref="M604" si="2682">I604-J604</f>
        <v>29341.770000000019</v>
      </c>
      <c r="N604" s="180">
        <f t="shared" ref="N604" si="2683">M604/J604</f>
        <v>7.3354425000000043E-2</v>
      </c>
      <c r="O604" s="179">
        <f t="shared" ref="O604" si="2684">N604/(A604/365.25)</f>
        <v>2.8502876309840441E-2</v>
      </c>
      <c r="P604" s="178" t="b">
        <f t="shared" ref="P604" si="2685">L604&gt;D604</f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ref="S604" si="2686">I604-R604</f>
        <v>56710.910000000033</v>
      </c>
      <c r="T604" s="170">
        <v>-38937</v>
      </c>
      <c r="U604" s="170">
        <f t="shared" ref="U604:U608" si="2687">M604-T604</f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672"/>
        <v>0.8554034888269002</v>
      </c>
      <c r="Y604" s="171">
        <f t="shared" ref="Y604" si="2688">O604/W604</f>
        <v>0.10103058160703758</v>
      </c>
      <c r="Z604" s="784">
        <f t="shared" ref="Z604" si="2689">-(E604-N604)</f>
        <v>-0.23440227673702929</v>
      </c>
    </row>
    <row r="605" spans="1:26" ht="20.100000000000001" customHeight="1" x14ac:dyDescent="0.25">
      <c r="A605" s="160">
        <f t="shared" ref="A605" si="2690">B605-$B$2</f>
        <v>941</v>
      </c>
      <c r="B605" s="169">
        <v>43174</v>
      </c>
      <c r="C605" s="211">
        <v>2747.33</v>
      </c>
      <c r="D605" s="168">
        <f t="shared" ref="D605" si="2691">(C605-C604)/C604</f>
        <v>-7.8196604448844541E-4</v>
      </c>
      <c r="E605" s="205">
        <f t="shared" ref="E605" si="2692">(C605-$C$2)/$C$2</f>
        <v>0.30673408040181876</v>
      </c>
      <c r="F605" s="215">
        <v>7481.74</v>
      </c>
      <c r="G605" s="168">
        <f t="shared" ref="G605" si="2693">(F605-F604)/F604</f>
        <v>-2.0101883334379044E-3</v>
      </c>
      <c r="H605" s="199">
        <f t="shared" ref="H605" si="2694">(F605-F$2)/F$2</f>
        <v>0.46939921833572285</v>
      </c>
      <c r="I605" s="217">
        <v>429379.29</v>
      </c>
      <c r="J605" s="170">
        <v>400000</v>
      </c>
      <c r="K605" s="170">
        <f t="shared" ref="K605" si="2695">I605-I604-J605+J604</f>
        <v>37.519999999960419</v>
      </c>
      <c r="L605" s="168">
        <f t="shared" ref="L605" si="2696">K605/I604</f>
        <v>8.7389587088068359E-5</v>
      </c>
      <c r="M605" s="178">
        <f t="shared" ref="M605" si="2697">I605-J605</f>
        <v>29379.289999999979</v>
      </c>
      <c r="N605" s="180">
        <f t="shared" ref="N605" si="2698">M605/J605</f>
        <v>7.344822499999995E-2</v>
      </c>
      <c r="O605" s="179">
        <f t="shared" ref="O605" si="2699">N605/(A605/365.25)</f>
        <v>2.8508994879117941E-2</v>
      </c>
      <c r="P605" s="178" t="b">
        <f t="shared" ref="P605" si="2700">L605&gt;D605</f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ref="S605" si="2701">I605-R605</f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672"/>
        <v>0.85234871317056815</v>
      </c>
      <c r="Y605" s="171">
        <f t="shared" ref="Y605" si="2702">O605/W605</f>
        <v>0.10113626398951872</v>
      </c>
      <c r="Z605" s="784">
        <f t="shared" ref="Z605" si="2703">-(E605-N605)</f>
        <v>-0.23328585540181881</v>
      </c>
    </row>
    <row r="606" spans="1:26" ht="20.100000000000001" customHeight="1" x14ac:dyDescent="0.25">
      <c r="A606" s="160">
        <f t="shared" ref="A606" si="2704">B606-$B$2</f>
        <v>942</v>
      </c>
      <c r="B606" s="169">
        <v>43175</v>
      </c>
      <c r="C606" s="211">
        <v>2752.02</v>
      </c>
      <c r="D606" s="168">
        <f t="shared" ref="D606" si="2705">(C606-C605)/C605</f>
        <v>1.707111996010692E-3</v>
      </c>
      <c r="E606" s="205">
        <f t="shared" ref="E606" si="2706">(C606-$C$2)/$C$2</f>
        <v>0.30896482182606871</v>
      </c>
      <c r="F606" s="215">
        <v>7481.98</v>
      </c>
      <c r="G606" s="168">
        <f t="shared" ref="G606" si="2707">(F606-F605)/F605</f>
        <v>3.2078099479503662E-5</v>
      </c>
      <c r="H606" s="199">
        <f t="shared" ref="H606" si="2708">(F606-F$2)/F$2</f>
        <v>0.46944635387002376</v>
      </c>
      <c r="I606" s="217">
        <v>432834.68</v>
      </c>
      <c r="J606" s="170">
        <v>400000</v>
      </c>
      <c r="K606" s="170">
        <f t="shared" ref="K606" si="2709">I606-I605-J606+J605</f>
        <v>3455.390000000014</v>
      </c>
      <c r="L606" s="168">
        <f t="shared" ref="L606" si="2710">K606/I605</f>
        <v>8.0474072235761866E-3</v>
      </c>
      <c r="M606" s="178">
        <f t="shared" ref="M606" si="2711">I606-J606</f>
        <v>32834.679999999993</v>
      </c>
      <c r="N606" s="180">
        <f t="shared" ref="N606" si="2712">M606/J606</f>
        <v>8.2086699999999985E-2</v>
      </c>
      <c r="O606" s="179">
        <f t="shared" ref="O606" si="2713">N606/(A606/365.25)</f>
        <v>3.1828202945859869E-2</v>
      </c>
      <c r="P606" s="178" t="b">
        <f t="shared" ref="P606" si="2714">L606&gt;D606</f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ref="S606:S608" si="2715">I606-R606</f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672"/>
        <v>0.85833429912511727</v>
      </c>
      <c r="Y606" s="171">
        <f t="shared" ref="Y606" si="2716">O606/W606</f>
        <v>0.112987939130472</v>
      </c>
      <c r="Z606" s="784">
        <f t="shared" ref="Z606" si="2717">-(E606-N606)</f>
        <v>-0.22687812182606873</v>
      </c>
    </row>
    <row r="607" spans="1:26" ht="20.100000000000001" customHeight="1" x14ac:dyDescent="0.25">
      <c r="A607" s="160">
        <f t="shared" ref="A607" si="2718">B607-$B$2</f>
        <v>945</v>
      </c>
      <c r="B607" s="169">
        <v>43178</v>
      </c>
      <c r="C607" s="211">
        <v>2712.92</v>
      </c>
      <c r="D607" s="168">
        <f t="shared" ref="D607" si="2719">(C607-C606)/C606</f>
        <v>-1.4207745583244275E-2</v>
      </c>
      <c r="E607" s="205">
        <f t="shared" ref="E607" si="2720">(C607-$C$2)/$C$2</f>
        <v>0.29036738266014728</v>
      </c>
      <c r="F607" s="215">
        <v>7324.44</v>
      </c>
      <c r="G607" s="168">
        <f t="shared" ref="G607" si="2721">(F607-F606)/F606</f>
        <v>-2.1055923699341613E-2</v>
      </c>
      <c r="H607" s="199">
        <f t="shared" ref="H607" si="2722">(F607-F$2)/F$2</f>
        <v>0.43850580356266078</v>
      </c>
      <c r="I607" s="217">
        <v>436840.3</v>
      </c>
      <c r="J607" s="170">
        <v>410000</v>
      </c>
      <c r="K607" s="170">
        <f t="shared" ref="K607" si="2723">I607-I606-J607+J606</f>
        <v>-5994.3800000000047</v>
      </c>
      <c r="L607" s="168">
        <f t="shared" ref="L607" si="2724">K607/I606</f>
        <v>-1.3849121331959825E-2</v>
      </c>
      <c r="M607" s="178">
        <f t="shared" ref="M607" si="2725">I607-J607</f>
        <v>26840.299999999988</v>
      </c>
      <c r="N607" s="180">
        <f t="shared" ref="N607" si="2726">M607/J607</f>
        <v>6.5464146341463386E-2</v>
      </c>
      <c r="O607" s="179">
        <f t="shared" ref="O607" si="2727">N607/(A607/365.25)</f>
        <v>2.5302412117692595E-2</v>
      </c>
      <c r="P607" s="178" t="b">
        <f t="shared" ref="P607" si="2728">L607&gt;D607</f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672"/>
        <v>0.80292049349285621</v>
      </c>
      <c r="Y607" s="171">
        <f t="shared" ref="Y607" si="2729">O607/W607</f>
        <v>8.9847727916889275E-2</v>
      </c>
      <c r="Z607" s="784">
        <f t="shared" ref="Z607" si="2730">-(E607-N607)</f>
        <v>-0.22490323631868389</v>
      </c>
    </row>
    <row r="608" spans="1:26" ht="20.100000000000001" customHeight="1" x14ac:dyDescent="0.25">
      <c r="A608" s="160">
        <f t="shared" ref="A608" si="2731">B608-$B$2</f>
        <v>946</v>
      </c>
      <c r="B608" s="169">
        <v>43179</v>
      </c>
      <c r="C608" s="211">
        <v>2716.94</v>
      </c>
      <c r="D608" s="168">
        <f t="shared" ref="D608" si="2732">(C608-C607)/C607</f>
        <v>1.4817982100467325E-3</v>
      </c>
      <c r="E608" s="205">
        <f t="shared" ref="E608" si="2733">(C608-$C$2)/$C$2</f>
        <v>0.29227944673807577</v>
      </c>
      <c r="F608" s="215">
        <v>7364.3</v>
      </c>
      <c r="G608" s="168">
        <f t="shared" ref="G608" si="2734">(F608-F607)/F607</f>
        <v>5.4420542730912649E-3</v>
      </c>
      <c r="H608" s="199">
        <f t="shared" ref="H608" si="2735">(F608-F$2)/F$2</f>
        <v>0.44633423021780555</v>
      </c>
      <c r="I608" s="217">
        <v>437944.26</v>
      </c>
      <c r="J608" s="170">
        <v>410000</v>
      </c>
      <c r="K608" s="170">
        <f t="shared" ref="K608" si="2736">I608-I607-J608+J607</f>
        <v>1103.960000000021</v>
      </c>
      <c r="L608" s="168">
        <f t="shared" ref="L608" si="2737">K608/I607</f>
        <v>2.5271477929120116E-3</v>
      </c>
      <c r="M608" s="178">
        <f t="shared" ref="M608" si="2738">I608-J608</f>
        <v>27944.260000000009</v>
      </c>
      <c r="N608" s="180">
        <f t="shared" ref="N608" si="2739">M608/J608</f>
        <v>6.8156731707317092E-2</v>
      </c>
      <c r="O608" s="179">
        <f t="shared" ref="O608" si="2740">N608/(A608/365.25)</f>
        <v>2.6315270883824068E-2</v>
      </c>
      <c r="P608" s="178" t="b">
        <f t="shared" ref="P608" si="2741">L608&gt;D608</f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si="2715"/>
        <v>28945.729999999981</v>
      </c>
      <c r="T608" s="170">
        <v>-39027</v>
      </c>
      <c r="U608" s="170">
        <f t="shared" si="2687"/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672"/>
        <v>0.8080124410173406</v>
      </c>
      <c r="Y608" s="171">
        <f t="shared" ref="Y608" si="2742">O608/W608</f>
        <v>9.3520622966023703E-2</v>
      </c>
      <c r="Z608" s="784">
        <f t="shared" ref="Z608" si="2743">-(E608-N608)</f>
        <v>-0.22412271503075867</v>
      </c>
    </row>
    <row r="609" spans="1:26" ht="20.100000000000001" customHeight="1" x14ac:dyDescent="0.25">
      <c r="A609" s="160">
        <f t="shared" ref="A609" si="2744">B609-$B$2</f>
        <v>947</v>
      </c>
      <c r="B609" s="169">
        <v>43180</v>
      </c>
      <c r="C609" s="211">
        <v>2711.93</v>
      </c>
      <c r="D609" s="168">
        <f t="shared" ref="D609" si="2745">(C609-C608)/C608</f>
        <v>-1.8439862492363535E-3</v>
      </c>
      <c r="E609" s="205">
        <f t="shared" ref="E609" si="2746">(C609-$C$2)/$C$2</f>
        <v>0.28989650120811999</v>
      </c>
      <c r="F609" s="215">
        <v>7345.28</v>
      </c>
      <c r="G609" s="168">
        <f t="shared" ref="G609" si="2747">(F609-F608)/F608</f>
        <v>-2.582730198389587E-3</v>
      </c>
      <c r="H609" s="199">
        <f t="shared" ref="H609" si="2748">(F609-F$2)/F$2</f>
        <v>0.44259873912445746</v>
      </c>
      <c r="I609" s="217">
        <v>444291.72</v>
      </c>
      <c r="J609" s="170">
        <v>410000</v>
      </c>
      <c r="K609" s="170">
        <f t="shared" ref="K609" si="2749">I609-I608-J609+J608</f>
        <v>6347.4599999999627</v>
      </c>
      <c r="L609" s="168">
        <f t="shared" ref="L609" si="2750">K609/I608</f>
        <v>1.4493762288378806E-2</v>
      </c>
      <c r="M609" s="178">
        <f t="shared" ref="M609" si="2751">I609-J609</f>
        <v>34291.719999999972</v>
      </c>
      <c r="N609" s="180">
        <f t="shared" ref="N609" si="2752">M609/J609</f>
        <v>8.3638341463414562E-2</v>
      </c>
      <c r="O609" s="179">
        <f t="shared" ref="O609" si="2753">N609/(A609/365.25)</f>
        <v>3.2258610580266286E-2</v>
      </c>
      <c r="P609" s="178" t="b">
        <f t="shared" ref="P609" si="2754">L609&gt;D609</f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ref="S609" si="2755">I609-R609</f>
        <v>55825.989999999991</v>
      </c>
      <c r="T609" s="170">
        <v>-38907</v>
      </c>
      <c r="U609" s="170">
        <f t="shared" ref="U609" si="2756">M609-T609</f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672"/>
        <v>0.80119441759034837</v>
      </c>
      <c r="Y609" s="171">
        <f t="shared" ref="Y609" si="2757">O609/W609</f>
        <v>0.11467787321656459</v>
      </c>
      <c r="Z609" s="784">
        <f t="shared" ref="Z609" si="2758">-(E609-N609)</f>
        <v>-0.20625815974470543</v>
      </c>
    </row>
    <row r="610" spans="1:26" ht="20.100000000000001" customHeight="1" x14ac:dyDescent="0.25">
      <c r="A610" s="160">
        <f t="shared" ref="A610" si="2759">B610-$B$2</f>
        <v>948</v>
      </c>
      <c r="B610" s="169">
        <v>43181</v>
      </c>
      <c r="C610" s="211">
        <v>2643.69</v>
      </c>
      <c r="D610" s="168">
        <f t="shared" ref="D610" si="2760">(C610-C609)/C609</f>
        <v>-2.5162891372564847E-2</v>
      </c>
      <c r="E610" s="205">
        <f t="shared" ref="E610" si="2761">(C610-$C$2)/$C$2</f>
        <v>0.25743897566636859</v>
      </c>
      <c r="F610" s="215">
        <v>7166.67</v>
      </c>
      <c r="G610" s="168">
        <f t="shared" ref="G610" si="2762">(F610-F609)/F609</f>
        <v>-2.4316295634747714E-2</v>
      </c>
      <c r="H610" s="199">
        <f t="shared" ref="H610" si="2763">(F610-F$2)/F$2</f>
        <v>0.40752008170159287</v>
      </c>
      <c r="I610" s="217">
        <v>436497.12</v>
      </c>
      <c r="J610" s="170">
        <v>410000</v>
      </c>
      <c r="K610" s="170">
        <f t="shared" ref="K610" si="2764">I610-I609-J610+J609</f>
        <v>-7794.5999999999767</v>
      </c>
      <c r="L610" s="168">
        <f t="shared" ref="L610" si="2765">K610/I609</f>
        <v>-1.7543878603004298E-2</v>
      </c>
      <c r="M610" s="178">
        <f t="shared" ref="M610" si="2766">I610-J610</f>
        <v>26497.119999999995</v>
      </c>
      <c r="N610" s="180">
        <f t="shared" ref="N610" si="2767">M610/J610</f>
        <v>6.4627121951219502E-2</v>
      </c>
      <c r="O610" s="179">
        <f t="shared" ref="O610" si="2768">N610/(A610/365.25)</f>
        <v>2.4899848410003086E-2</v>
      </c>
      <c r="P610" s="178" t="b">
        <f t="shared" ref="P610" si="2769">L610&gt;D610</f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ref="S610" si="2770">I610-R610</f>
        <v>31496.440000000002</v>
      </c>
      <c r="T610" s="170">
        <v>-39087</v>
      </c>
      <c r="U610" s="170">
        <f t="shared" ref="U610" si="2771">M610-T610</f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672"/>
        <v>0.706401194872605</v>
      </c>
      <c r="Y610" s="171">
        <f t="shared" ref="Y610" si="2772">O610/W610</f>
        <v>8.8515312282273592E-2</v>
      </c>
      <c r="Z610" s="784">
        <f t="shared" ref="Z610" si="2773">-(E610-N610)</f>
        <v>-0.19281185371514908</v>
      </c>
    </row>
    <row r="611" spans="1:26" ht="20.100000000000001" customHeight="1" x14ac:dyDescent="0.25">
      <c r="A611" s="160">
        <f t="shared" ref="A611" si="2774">B611-$B$2</f>
        <v>949</v>
      </c>
      <c r="B611" s="169">
        <v>43182</v>
      </c>
      <c r="C611" s="211">
        <v>2588.2800000000002</v>
      </c>
      <c r="D611" s="168">
        <f t="shared" ref="D611" si="2775">(C611-C610)/C610</f>
        <v>-2.0959340921212342E-2</v>
      </c>
      <c r="E611" s="205">
        <f t="shared" ref="E611" si="2776">(C611-$C$2)/$C$2</f>
        <v>0.23108388348775716</v>
      </c>
      <c r="F611" s="215">
        <v>6992.66</v>
      </c>
      <c r="G611" s="168">
        <f t="shared" ref="G611" si="2777">(F611-F610)/F610</f>
        <v>-2.4280453823044765E-2</v>
      </c>
      <c r="H611" s="199">
        <f t="shared" ref="H611" si="2778">(F611-F$2)/F$2</f>
        <v>0.37334485535282913</v>
      </c>
      <c r="I611" s="217">
        <v>432731.74</v>
      </c>
      <c r="J611" s="170">
        <v>410000</v>
      </c>
      <c r="K611" s="170">
        <f t="shared" ref="K611" si="2779">I611-I610-J611+J610</f>
        <v>-3765.3800000000047</v>
      </c>
      <c r="L611" s="168">
        <f t="shared" ref="L611" si="2780">K611/I610</f>
        <v>-8.6263570307176483E-3</v>
      </c>
      <c r="M611" s="178">
        <f t="shared" ref="M611" si="2781">I611-J611</f>
        <v>22731.739999999991</v>
      </c>
      <c r="N611" s="180">
        <f t="shared" ref="N611" si="2782">M611/J611</f>
        <v>5.5443268292682903E-2</v>
      </c>
      <c r="O611" s="179">
        <f t="shared" ref="O611" si="2783">N611/(A611/365.25)</f>
        <v>2.1338939666915101E-2</v>
      </c>
      <c r="P611" s="178" t="b">
        <f t="shared" ref="P611" si="2784">L611&gt;D611</f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ref="S611" si="2785">I611-R611</f>
        <v>22035.959999999963</v>
      </c>
      <c r="T611" s="170">
        <v>-38588</v>
      </c>
      <c r="U611" s="170">
        <f t="shared" ref="U611" si="2786">M611-T611</f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672"/>
        <v>0.63091454878179509</v>
      </c>
      <c r="Y611" s="171">
        <f t="shared" ref="Y611" si="2787">O611/W611</f>
        <v>7.5902843298805325E-2</v>
      </c>
      <c r="Z611" s="784">
        <f t="shared" ref="Z611" si="2788">-(E611-N611)</f>
        <v>-0.17564061519507426</v>
      </c>
    </row>
    <row r="612" spans="1:26" ht="20.100000000000001" customHeight="1" x14ac:dyDescent="0.25">
      <c r="A612" s="160">
        <f t="shared" ref="A612" si="2789">B612-$B$2</f>
        <v>952</v>
      </c>
      <c r="B612" s="169">
        <v>43185</v>
      </c>
      <c r="C612" s="211">
        <v>2658.55</v>
      </c>
      <c r="D612" s="168">
        <f t="shared" ref="D612" si="2790">(C612-C611)/C611</f>
        <v>2.7149303784752801E-2</v>
      </c>
      <c r="E612" s="205">
        <f t="shared" ref="E612" si="2791">(C612-$C$2)/$C$2</f>
        <v>0.26450695382507949</v>
      </c>
      <c r="F612" s="215">
        <v>7220.54</v>
      </c>
      <c r="G612" s="168">
        <f t="shared" ref="G612" si="2792">(F612-F611)/F611</f>
        <v>3.2588457039238301E-2</v>
      </c>
      <c r="H612" s="199">
        <f t="shared" ref="H612" si="2793">(F612-F$2)/F$2</f>
        <v>0.41810004517155375</v>
      </c>
      <c r="I612" s="217">
        <v>442155.65</v>
      </c>
      <c r="J612" s="170">
        <v>410000</v>
      </c>
      <c r="K612" s="170">
        <f t="shared" ref="K612" si="2794">I612-I611-J612+J611</f>
        <v>9423.9100000000326</v>
      </c>
      <c r="L612" s="168">
        <f t="shared" ref="L612" si="2795">K612/I611</f>
        <v>2.1777718454394013E-2</v>
      </c>
      <c r="M612" s="178">
        <f t="shared" ref="M612" si="2796">I612-J612</f>
        <v>32155.650000000023</v>
      </c>
      <c r="N612" s="180">
        <f t="shared" ref="N612" si="2797">M612/J612</f>
        <v>7.8428414634146404E-2</v>
      </c>
      <c r="O612" s="179">
        <f t="shared" ref="O612" si="2798">N612/(A612/365.25)</f>
        <v>3.0090313492775182E-2</v>
      </c>
      <c r="P612" s="178" t="b">
        <f t="shared" ref="P612" si="2799">L612&gt;D612</f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ref="S612" si="2800">I612-R612</f>
        <v>22035.47000000003</v>
      </c>
      <c r="T612" s="170">
        <v>-36818</v>
      </c>
      <c r="U612" s="170">
        <f t="shared" ref="U612" si="2801">M612-T612</f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672"/>
        <v>0.71516798856025343</v>
      </c>
      <c r="Y612" s="171">
        <f t="shared" ref="Y612" si="2802">O612/W612</f>
        <v>0.10699220983823964</v>
      </c>
      <c r="Z612" s="784">
        <f t="shared" ref="Z612" si="2803">-(E612-N612)</f>
        <v>-0.18607853919093309</v>
      </c>
    </row>
    <row r="613" spans="1:26" ht="20.100000000000001" customHeight="1" x14ac:dyDescent="0.25">
      <c r="A613" s="160">
        <f t="shared" ref="A613" si="2804">B613-$B$2</f>
        <v>953</v>
      </c>
      <c r="B613" s="169">
        <v>43186</v>
      </c>
      <c r="C613" s="211">
        <v>2612.62</v>
      </c>
      <c r="D613" s="168">
        <f t="shared" ref="D613" si="2805">(C613-C612)/C612</f>
        <v>-1.7276334844182086E-2</v>
      </c>
      <c r="E613" s="205">
        <f t="shared" ref="E613" si="2806">(C613-$C$2)/$C$2</f>
        <v>0.24266090827800071</v>
      </c>
      <c r="F613" s="215">
        <v>7008.8</v>
      </c>
      <c r="G613" s="168">
        <f t="shared" ref="G613" si="2807">(F613-F612)/F612</f>
        <v>-2.9324676547737398E-2</v>
      </c>
      <c r="H613" s="199">
        <f t="shared" ref="H613" si="2808">(F613-F$2)/F$2</f>
        <v>0.37651472003456615</v>
      </c>
      <c r="I613" s="217">
        <v>435282.26</v>
      </c>
      <c r="J613" s="170">
        <v>410000</v>
      </c>
      <c r="K613" s="170">
        <f t="shared" ref="K613" si="2809">I613-I612-J613+J612</f>
        <v>-6873.390000000014</v>
      </c>
      <c r="L613" s="168">
        <f t="shared" ref="L613" si="2810">K613/I612</f>
        <v>-1.5545181883348124E-2</v>
      </c>
      <c r="M613" s="178">
        <f t="shared" ref="M613" si="2811">I613-J613</f>
        <v>25282.260000000009</v>
      </c>
      <c r="N613" s="180">
        <f t="shared" ref="N613" si="2812">M613/J613</f>
        <v>6.1664048780487826E-2</v>
      </c>
      <c r="O613" s="179">
        <f t="shared" ref="O613" si="2813">N613/(A613/365.25)</f>
        <v>2.363357168633072E-2</v>
      </c>
      <c r="P613" s="178" t="b">
        <f t="shared" ref="P613" si="2814">L613&gt;D613</f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ref="S613" si="2815">I613-R613</f>
        <v>19073.869999999995</v>
      </c>
      <c r="T613" s="170">
        <v>-38018</v>
      </c>
      <c r="U613" s="170">
        <f t="shared" ref="U613" si="2816">M613-T613</f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672"/>
        <v>0.65385231411549516</v>
      </c>
      <c r="Y613" s="171">
        <f t="shared" ref="Y613" si="2817">O613/W613</f>
        <v>8.4046553890140388E-2</v>
      </c>
      <c r="Z613" s="784">
        <f t="shared" ref="Z613" si="2818">-(E613-N613)</f>
        <v>-0.18099685949751287</v>
      </c>
    </row>
    <row r="614" spans="1:26" ht="20.100000000000001" customHeight="1" x14ac:dyDescent="0.25">
      <c r="A614" s="160">
        <f t="shared" ref="A614" si="2819">B614-$B$2</f>
        <v>954</v>
      </c>
      <c r="B614" s="169">
        <v>43187</v>
      </c>
      <c r="C614" s="211">
        <v>2605</v>
      </c>
      <c r="D614" s="168">
        <f t="shared" ref="D614" si="2820">(C614-C613)/C613</f>
        <v>-2.9166124426820168E-3</v>
      </c>
      <c r="E614" s="205">
        <f t="shared" ref="E614" si="2821">(C614-$C$2)/$C$2</f>
        <v>0.23903654801088256</v>
      </c>
      <c r="F614" s="215">
        <v>6949.22</v>
      </c>
      <c r="G614" s="168">
        <f t="shared" ref="G614" si="2822">(F614-F613)/F613</f>
        <v>-8.5007419244378397E-3</v>
      </c>
      <c r="H614" s="199">
        <f t="shared" ref="H614" si="2823">(F614-F$2)/F$2</f>
        <v>0.36481332364436247</v>
      </c>
      <c r="I614" s="217">
        <v>434900.1</v>
      </c>
      <c r="J614" s="170">
        <v>410000</v>
      </c>
      <c r="K614" s="170">
        <f t="shared" ref="K614" si="2824">I614-I613-J614+J613</f>
        <v>-382.1600000000326</v>
      </c>
      <c r="L614" s="168">
        <f t="shared" ref="L614" si="2825">K614/I613</f>
        <v>-8.7795905121433755E-4</v>
      </c>
      <c r="M614" s="178">
        <f t="shared" ref="M614" si="2826">I614-J614</f>
        <v>24900.099999999977</v>
      </c>
      <c r="N614" s="180">
        <f t="shared" ref="N614" si="2827">M614/J614</f>
        <v>6.0731951219512137E-2</v>
      </c>
      <c r="O614" s="179">
        <f t="shared" ref="O614" si="2828">N614/(A614/365.25)</f>
        <v>2.325193415401133E-2</v>
      </c>
      <c r="P614" s="178" t="b">
        <f t="shared" ref="P614" si="2829">L614&gt;D614</f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ref="S614" si="2830">I614-R614</f>
        <v>11260.869999999995</v>
      </c>
      <c r="T614" s="170">
        <v>-37568</v>
      </c>
      <c r="U614" s="170">
        <f t="shared" ref="U614" si="2831">M614-T614</f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672"/>
        <v>0.64386646505164302</v>
      </c>
      <c r="Y614" s="171">
        <f t="shared" ref="Y614" si="2832">O614/W614</f>
        <v>8.2756726887908791E-2</v>
      </c>
      <c r="Z614" s="784">
        <f t="shared" ref="Z614" si="2833">-(E614-N614)</f>
        <v>-0.17830459679137042</v>
      </c>
    </row>
    <row r="615" spans="1:26" ht="20.100000000000001" customHeight="1" x14ac:dyDescent="0.25">
      <c r="A615" s="160">
        <f t="shared" ref="A615" si="2834">B615-$B$2</f>
        <v>955</v>
      </c>
      <c r="B615" s="169">
        <v>43188</v>
      </c>
      <c r="C615" s="211">
        <v>2640.87</v>
      </c>
      <c r="D615" s="168">
        <f t="shared" ref="D615" si="2835">(C615-C614)/C614</f>
        <v>1.3769673704414545E-2</v>
      </c>
      <c r="E615" s="205">
        <f t="shared" ref="E615" si="2836">(C615-$C$2)/$C$2</f>
        <v>0.2560976769848366</v>
      </c>
      <c r="F615" s="215">
        <v>7063.44</v>
      </c>
      <c r="G615" s="168">
        <f t="shared" ref="G615" si="2837">(F615-F614)/F614</f>
        <v>1.6436377032242374E-2</v>
      </c>
      <c r="H615" s="199">
        <f t="shared" ref="H615" si="2838">(F615-F$2)/F$2</f>
        <v>0.38724591001040909</v>
      </c>
      <c r="I615" s="406">
        <v>442598.74</v>
      </c>
      <c r="J615" s="170">
        <v>410000</v>
      </c>
      <c r="K615" s="170">
        <f t="shared" ref="K615" si="2839">I615-I614-J615+J614</f>
        <v>7698.640000000014</v>
      </c>
      <c r="L615" s="168">
        <f t="shared" ref="L615" si="2840">K615/I614</f>
        <v>1.770208836466125E-2</v>
      </c>
      <c r="M615" s="406">
        <f t="shared" ref="M615" si="2841">I615-J615</f>
        <v>32598.739999999991</v>
      </c>
      <c r="N615" s="180">
        <f t="shared" ref="N615" si="2842">M615/J615</f>
        <v>7.9509121951219494E-2</v>
      </c>
      <c r="O615" s="179">
        <f t="shared" ref="O615" si="2843">N615/(A615/365.25)</f>
        <v>3.0409117060400961E-2</v>
      </c>
      <c r="P615" s="178" t="b">
        <f t="shared" ref="P615" si="2844">L615&gt;D615</f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ref="S615" si="2845">I615-R615</f>
        <v>27392.809999999998</v>
      </c>
      <c r="T615" s="170">
        <v>-36608</v>
      </c>
      <c r="U615" s="170">
        <f t="shared" ref="U615" si="2846">M615-T615</f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672"/>
        <v>0.68840885912616945</v>
      </c>
      <c r="Y615" s="171">
        <f t="shared" ref="Y615" si="2847">O615/W615</f>
        <v>0.10823468415654401</v>
      </c>
      <c r="Z615" s="784">
        <f t="shared" ref="Z615" si="2848">-(E615-N615)</f>
        <v>-0.17658855503361709</v>
      </c>
    </row>
    <row r="616" spans="1:26" ht="20.100000000000001" customHeight="1" x14ac:dyDescent="0.25">
      <c r="A616" s="160">
        <f t="shared" ref="A616" si="2849">B616-$B$2</f>
        <v>959</v>
      </c>
      <c r="B616" s="169">
        <v>43192</v>
      </c>
      <c r="C616" s="211">
        <v>2581.88</v>
      </c>
      <c r="D616" s="168">
        <f t="shared" ref="D616" si="2850">(C616-C615)/C615</f>
        <v>-2.2337335802216612E-2</v>
      </c>
      <c r="E616" s="205">
        <f t="shared" ref="E616" si="2851">(C616-$C$2)/$C$2</f>
        <v>0.22803980137364208</v>
      </c>
      <c r="F616" s="215">
        <v>6870.11</v>
      </c>
      <c r="G616" s="168">
        <f t="shared" ref="G616" si="2852">(F616-F615)/F615</f>
        <v>-2.737051634897443E-2</v>
      </c>
      <c r="H616" s="199">
        <f t="shared" ref="H616" si="2853">(F616-F$2)/F$2</f>
        <v>0.34927627315042126</v>
      </c>
      <c r="I616" s="217">
        <v>431276</v>
      </c>
      <c r="J616" s="170">
        <v>410000</v>
      </c>
      <c r="K616" s="170">
        <f t="shared" ref="K616" si="2854">I616-I615-J616+J615</f>
        <v>-11322.739999999991</v>
      </c>
      <c r="L616" s="168">
        <f t="shared" ref="L616" si="2855">K616/I615</f>
        <v>-2.558240450481172E-2</v>
      </c>
      <c r="M616" s="178">
        <f t="shared" ref="M616" si="2856">I616-J616</f>
        <v>21276</v>
      </c>
      <c r="N616" s="180">
        <f t="shared" ref="N616" si="2857">M616/J616</f>
        <v>5.1892682926829269E-2</v>
      </c>
      <c r="O616" s="179">
        <f t="shared" ref="O616" si="2858">N616/(A616/365.25)</f>
        <v>1.9764131844655256E-2</v>
      </c>
      <c r="P616" s="178" t="b">
        <f t="shared" ref="P616" si="2859">L616&gt;D616</f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672"/>
        <v>0.60774375647435264</v>
      </c>
      <c r="Y616" s="171">
        <f t="shared" ref="Y616" si="2860">O616/W616</f>
        <v>7.0279387234619906E-2</v>
      </c>
      <c r="Z616" s="784">
        <f t="shared" ref="Z616" si="2861">-(E616-N616)</f>
        <v>-0.1761471184468128</v>
      </c>
    </row>
    <row r="617" spans="1:26" ht="20.100000000000001" customHeight="1" x14ac:dyDescent="0.25">
      <c r="A617" s="160">
        <f t="shared" ref="A617" si="2862">B617-$B$2</f>
        <v>960</v>
      </c>
      <c r="B617" s="169">
        <v>43193</v>
      </c>
      <c r="C617" s="211">
        <v>2614.4499999999998</v>
      </c>
      <c r="D617" s="168">
        <f t="shared" ref="D617" si="2863">(C617-C616)/C616</f>
        <v>1.2614838799634261E-2</v>
      </c>
      <c r="E617" s="205">
        <f t="shared" ref="E617" si="2864">(C617-$C$2)/$C$2</f>
        <v>0.24353132550750545</v>
      </c>
      <c r="F617" s="215">
        <v>6941.28</v>
      </c>
      <c r="G617" s="168">
        <f t="shared" ref="G617" si="2865">(F617-F616)/F616</f>
        <v>1.0359368336169301E-2</v>
      </c>
      <c r="H617" s="199">
        <f t="shared" ref="H617" si="2866">(F617-F$2)/F$2</f>
        <v>0.36325392305124027</v>
      </c>
      <c r="I617" s="217">
        <v>437107.28</v>
      </c>
      <c r="J617" s="170">
        <v>410000</v>
      </c>
      <c r="K617" s="170">
        <f t="shared" ref="K617" si="2867">I617-I616-J617+J616</f>
        <v>5831.2800000000279</v>
      </c>
      <c r="L617" s="168">
        <f t="shared" ref="L617" si="2868">K617/I616</f>
        <v>1.3520993516912669E-2</v>
      </c>
      <c r="M617" s="178">
        <f t="shared" ref="M617" si="2869">I617-J617</f>
        <v>27107.280000000028</v>
      </c>
      <c r="N617" s="180">
        <f t="shared" ref="N617" si="2870">M617/J617</f>
        <v>6.6115317073170796E-2</v>
      </c>
      <c r="O617" s="179">
        <f t="shared" ref="O617" si="2871">N617/(A617/365.25)</f>
        <v>2.5154812042682953E-2</v>
      </c>
      <c r="P617" s="178" t="b">
        <f t="shared" ref="P617" si="2872">L617&gt;D617</f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" si="2873">I617-R617</f>
        <v>19018.590000000026</v>
      </c>
      <c r="T617" s="170">
        <v>-37594</v>
      </c>
      <c r="U617" s="170">
        <f t="shared" ref="U617" si="2874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672"/>
        <v>0.64790785018491726</v>
      </c>
      <c r="Y617" s="171">
        <f t="shared" ref="Y617" si="2875">O617/W617</f>
        <v>8.9481345757524977E-2</v>
      </c>
      <c r="Z617" s="784">
        <f t="shared" ref="Z617" si="2876">-(E617-N617)</f>
        <v>-0.17741600843433464</v>
      </c>
    </row>
    <row r="618" spans="1:26" ht="20.100000000000001" customHeight="1" x14ac:dyDescent="0.25">
      <c r="A618" s="160">
        <f t="shared" ref="A618" si="2877">B618-$B$2</f>
        <v>961</v>
      </c>
      <c r="B618" s="169">
        <v>43194</v>
      </c>
      <c r="C618" s="211">
        <v>2644.69</v>
      </c>
      <c r="D618" s="168">
        <f t="shared" ref="D618" si="2878">(C618-C617)/C617</f>
        <v>1.1566486259060314E-2</v>
      </c>
      <c r="E618" s="205">
        <f t="shared" ref="E618" si="2879">(C618-$C$2)/$C$2</f>
        <v>0.25791461349669909</v>
      </c>
      <c r="F618" s="215">
        <v>7042.1</v>
      </c>
      <c r="G618" s="168">
        <f t="shared" ref="G618" si="2880">(F618-F617)/F617</f>
        <v>1.452469861466482E-2</v>
      </c>
      <c r="H618" s="199">
        <f t="shared" ref="H618" si="2881">(F618-F$2)/F$2</f>
        <v>0.38305477541881899</v>
      </c>
      <c r="I618" s="217">
        <v>442334.44</v>
      </c>
      <c r="J618" s="170">
        <v>410000</v>
      </c>
      <c r="K618" s="170">
        <f t="shared" ref="K618" si="2882">I618-I617-J618+J617</f>
        <v>5227.1599999999744</v>
      </c>
      <c r="L618" s="168">
        <f t="shared" ref="L618" si="2883">K618/I617</f>
        <v>1.1958528807847753E-2</v>
      </c>
      <c r="M618" s="178">
        <f t="shared" ref="M618" si="2884">I618-J618</f>
        <v>32334.440000000002</v>
      </c>
      <c r="N618" s="180">
        <f t="shared" ref="N618:N623" si="2885">M618/J618</f>
        <v>7.886448780487805E-2</v>
      </c>
      <c r="O618" s="179">
        <f t="shared" ref="O618" si="2886">N618/(A618/365.25)</f>
        <v>2.9974249917514788E-2</v>
      </c>
      <c r="P618" s="178" t="b">
        <f t="shared" ref="P618" si="2887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ref="S618" si="2888">I618-R618</f>
        <v>42052.049999999988</v>
      </c>
      <c r="T618" s="170">
        <v>-36222</v>
      </c>
      <c r="U618" s="170">
        <f t="shared" ref="U618" si="2889">M618-T618</f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672"/>
        <v>0.68516201202440108</v>
      </c>
      <c r="Y618" s="171">
        <f t="shared" ref="Y618" si="2890">O618/W618</f>
        <v>0.10667541658258604</v>
      </c>
      <c r="Z618" s="784">
        <f t="shared" ref="Z618:Z623" si="2891">-(E618-N618)</f>
        <v>-0.17905012569182105</v>
      </c>
    </row>
    <row r="619" spans="1:26" ht="20.100000000000001" customHeight="1" x14ac:dyDescent="0.25">
      <c r="A619" s="160">
        <f t="shared" ref="A619" si="2892">B619-$B$2</f>
        <v>962</v>
      </c>
      <c r="B619" s="169">
        <v>43195</v>
      </c>
      <c r="C619" s="211">
        <v>2662.84</v>
      </c>
      <c r="D619" s="168">
        <f t="shared" ref="D619" si="2893">(C619-C618)/C618</f>
        <v>6.8628081173975368E-3</v>
      </c>
      <c r="E619" s="205">
        <f t="shared" ref="E619" si="2894">(C619-$C$2)/$C$2</f>
        <v>0.26654744011719722</v>
      </c>
      <c r="F619" s="215">
        <v>7076.55</v>
      </c>
      <c r="G619" s="168">
        <f t="shared" ref="G619" si="2895">(F619-F618)/F618</f>
        <v>4.8920066457448508E-3</v>
      </c>
      <c r="H619" s="199">
        <f t="shared" ref="H619" si="2896">(F619-F$2)/F$2</f>
        <v>0.38982068857159702</v>
      </c>
      <c r="I619" s="217">
        <v>448428.71</v>
      </c>
      <c r="J619" s="170">
        <v>410000</v>
      </c>
      <c r="K619" s="170">
        <f t="shared" ref="K619" si="2897">I619-I618-J619+J618</f>
        <v>6094.2700000000186</v>
      </c>
      <c r="L619" s="168">
        <f t="shared" ref="L619" si="2898">K619/I618</f>
        <v>1.3777516396869343E-2</v>
      </c>
      <c r="M619" s="178">
        <f t="shared" ref="M619" si="2899">I619-J619</f>
        <v>38428.710000000021</v>
      </c>
      <c r="N619" s="180">
        <f t="shared" si="2885"/>
        <v>9.3728560975609804E-2</v>
      </c>
      <c r="O619" s="179">
        <f t="shared" ref="O619" si="2900">N619/(A619/365.25)</f>
        <v>3.5586649580396555E-2</v>
      </c>
      <c r="P619" s="178" t="b">
        <f t="shared" ref="P619" si="2901">L619&gt;D619</f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ref="S619" si="2902">I619-R619</f>
        <v>60541.619999999995</v>
      </c>
      <c r="T619" s="170">
        <v>-36897</v>
      </c>
      <c r="U619" s="170">
        <f t="shared" ref="U619" si="2903">M619-T619</f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672"/>
        <v>0.70764020387309212</v>
      </c>
      <c r="Y619" s="171">
        <f t="shared" ref="Y619" si="2904">O619/W619</f>
        <v>0.1266942955572157</v>
      </c>
      <c r="Z619" s="784">
        <f t="shared" si="2891"/>
        <v>-0.17281887914158742</v>
      </c>
    </row>
    <row r="620" spans="1:26" ht="20.100000000000001" customHeight="1" x14ac:dyDescent="0.25">
      <c r="A620" s="160">
        <f t="shared" ref="A620" si="2905">B620-$B$2</f>
        <v>963</v>
      </c>
      <c r="B620" s="169">
        <v>43196</v>
      </c>
      <c r="C620" s="211">
        <v>2604.4699999999998</v>
      </c>
      <c r="D620" s="168">
        <f t="shared" ref="D620" si="2906">(C620-C619)/C619</f>
        <v>-2.1920205494885287E-2</v>
      </c>
      <c r="E620" s="205">
        <f t="shared" ref="E620" si="2907">(C620-$C$2)/$C$2</f>
        <v>0.23878445996080733</v>
      </c>
      <c r="F620" s="215">
        <v>6915.11</v>
      </c>
      <c r="G620" s="168">
        <f t="shared" ref="G620" si="2908">(F620-F619)/F619</f>
        <v>-2.2813376574743412E-2</v>
      </c>
      <c r="H620" s="199">
        <f t="shared" ref="H620" si="2909">(F620-F$2)/F$2</f>
        <v>0.35811418583184396</v>
      </c>
      <c r="I620" s="217">
        <v>452280.76</v>
      </c>
      <c r="J620" s="170">
        <v>420000</v>
      </c>
      <c r="K620" s="170">
        <f t="shared" ref="K620" si="2910">I620-I619-J620+J619</f>
        <v>-6147.9500000000116</v>
      </c>
      <c r="L620" s="168">
        <f t="shared" ref="L620" si="2911">K620/I619</f>
        <v>-1.3709983020489503E-2</v>
      </c>
      <c r="M620" s="178">
        <f t="shared" ref="M620" si="2912">I620-J620</f>
        <v>32280.760000000009</v>
      </c>
      <c r="N620" s="180">
        <f t="shared" si="2885"/>
        <v>7.6858952380952403E-2</v>
      </c>
      <c r="O620" s="179">
        <f t="shared" ref="O620" si="2913">N620/(A620/365.25)</f>
        <v>2.9151331627354997E-2</v>
      </c>
      <c r="P620" s="178" t="b">
        <f t="shared" ref="P620" si="2914">L620&gt;D620</f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ref="S620" si="2915">I620-R620</f>
        <v>47204.19</v>
      </c>
      <c r="T620" s="170">
        <v>-36997</v>
      </c>
      <c r="U620" s="170">
        <f t="shared" ref="U620:U622" si="2916">M620-T620</f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672"/>
        <v>0.63065365068171264</v>
      </c>
      <c r="Y620" s="171">
        <f t="shared" ref="Y620" si="2917">O620/W620</f>
        <v>0.10381346061251384</v>
      </c>
      <c r="Z620" s="784">
        <f t="shared" si="2891"/>
        <v>-0.16192550757985491</v>
      </c>
    </row>
    <row r="621" spans="1:26" ht="20.100000000000001" customHeight="1" x14ac:dyDescent="0.25">
      <c r="A621" s="160">
        <f t="shared" ref="A621" si="2918">B621-$B$2</f>
        <v>966</v>
      </c>
      <c r="B621" s="169">
        <v>43199</v>
      </c>
      <c r="C621" s="211">
        <v>2613.16</v>
      </c>
      <c r="D621" s="168">
        <f t="shared" ref="D621" si="2919">(C621-C620)/C620</f>
        <v>3.3365713561684545E-3</v>
      </c>
      <c r="E621" s="205">
        <f t="shared" ref="E621" si="2920">(C621-$C$2)/$C$2</f>
        <v>0.24291775270637916</v>
      </c>
      <c r="F621" s="215">
        <v>6950.34</v>
      </c>
      <c r="G621" s="168">
        <f t="shared" ref="G621" si="2921">(F621-F620)/F620</f>
        <v>5.0946405769395535E-3</v>
      </c>
      <c r="H621" s="199">
        <f t="shared" ref="H621" si="2922">(F621-F$2)/F$2</f>
        <v>0.36503328947110009</v>
      </c>
      <c r="I621" s="217">
        <v>451911.76</v>
      </c>
      <c r="J621" s="170">
        <v>420000</v>
      </c>
      <c r="K621" s="170">
        <f t="shared" ref="K621" si="2923">I621-I620-J621+J620</f>
        <v>-369</v>
      </c>
      <c r="L621" s="168">
        <f t="shared" ref="L621" si="2924">K621/I620</f>
        <v>-8.1586490656821212E-4</v>
      </c>
      <c r="M621" s="178">
        <f t="shared" ref="M621" si="2925">I621-J621</f>
        <v>31911.760000000009</v>
      </c>
      <c r="N621" s="180">
        <f t="shared" si="2885"/>
        <v>7.598038095238098E-2</v>
      </c>
      <c r="O621" s="179">
        <f t="shared" ref="O621" si="2926">N621/(A621/365.25)</f>
        <v>2.8728606773144049E-2</v>
      </c>
      <c r="P621" s="178" t="b">
        <f t="shared" ref="P621" si="2927">L621&gt;D621</f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ref="S621" si="2928">I621-R621</f>
        <v>54817.410000000033</v>
      </c>
      <c r="T621" s="170"/>
      <c r="U621" s="170">
        <f t="shared" si="2916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672"/>
        <v>0.64004069197405311</v>
      </c>
      <c r="Y621" s="171">
        <f t="shared" ref="Y621" si="2929">O621/W621</f>
        <v>0.10239048719509054</v>
      </c>
      <c r="Z621" s="784">
        <f t="shared" si="2891"/>
        <v>-0.1669373717539982</v>
      </c>
    </row>
    <row r="622" spans="1:26" ht="20.100000000000001" customHeight="1" x14ac:dyDescent="0.25">
      <c r="A622" s="160">
        <f t="shared" ref="A622" si="2930">B622-$B$2</f>
        <v>967</v>
      </c>
      <c r="B622" s="169">
        <v>43200</v>
      </c>
      <c r="C622" s="211">
        <v>2656.87</v>
      </c>
      <c r="D622" s="168">
        <f t="shared" ref="D622" si="2931">(C622-C621)/C621</f>
        <v>1.6726874741692065E-2</v>
      </c>
      <c r="E622" s="205">
        <f t="shared" ref="E622" si="2932">(C622-$C$2)/$C$2</f>
        <v>0.26370788227012415</v>
      </c>
      <c r="F622" s="215">
        <v>7094.3</v>
      </c>
      <c r="G622" s="168">
        <f t="shared" ref="G622" si="2933">(F622-F621)/F621</f>
        <v>2.0712655783745836E-2</v>
      </c>
      <c r="H622" s="199">
        <f t="shared" ref="H622" si="2934">(F622-F$2)/F$2</f>
        <v>0.3933067541292693</v>
      </c>
      <c r="I622" s="217">
        <v>439634.82</v>
      </c>
      <c r="J622" s="170">
        <v>400000</v>
      </c>
      <c r="K622" s="170">
        <f t="shared" ref="K622" si="2935">I622-I621-J622+J621</f>
        <v>7723.0599999999977</v>
      </c>
      <c r="L622" s="168">
        <f t="shared" ref="L622" si="2936">K622/I621</f>
        <v>1.7089752211803467E-2</v>
      </c>
      <c r="M622" s="178">
        <f t="shared" ref="M622" si="2937">I622-J622</f>
        <v>39634.820000000007</v>
      </c>
      <c r="N622" s="180">
        <f t="shared" si="2885"/>
        <v>9.9087050000000024E-2</v>
      </c>
      <c r="O622" s="179">
        <f t="shared" ref="O622" si="2938">N622/(A622/365.25)</f>
        <v>3.7426623591003107E-2</v>
      </c>
      <c r="P622" s="178" t="b">
        <f t="shared" ref="P622" si="2939">L622&gt;D622</f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ref="S622" si="2940">I622-R622</f>
        <v>60126.630000000005</v>
      </c>
      <c r="T622" s="170">
        <v>-37772</v>
      </c>
      <c r="U622" s="170">
        <f t="shared" si="2916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672"/>
        <v>0.69283655017163581</v>
      </c>
      <c r="Y622" s="171">
        <f t="shared" ref="Y622" si="2941">O622/W622</f>
        <v>0.13340345206845966</v>
      </c>
      <c r="Z622" s="784">
        <f t="shared" si="2891"/>
        <v>-0.16462083227012414</v>
      </c>
    </row>
    <row r="623" spans="1:26" ht="20.100000000000001" customHeight="1" x14ac:dyDescent="0.25">
      <c r="A623" s="160">
        <f t="shared" ref="A623" si="2942">B623-$B$2</f>
        <v>968</v>
      </c>
      <c r="B623" s="169">
        <v>43201</v>
      </c>
      <c r="C623" s="211">
        <v>2642.19</v>
      </c>
      <c r="D623" s="168">
        <f t="shared" ref="D623" si="2943">(C623-C622)/C622</f>
        <v>-5.5252985656053313E-3</v>
      </c>
      <c r="E623" s="205">
        <f t="shared" ref="E623" si="2944">(C623-$C$2)/$C$2</f>
        <v>0.25672551892087286</v>
      </c>
      <c r="F623" s="215">
        <v>7069.02</v>
      </c>
      <c r="G623" s="168">
        <f t="shared" ref="G623" si="2945">(F623-F622)/F622</f>
        <v>-3.56342415742212E-3</v>
      </c>
      <c r="H623" s="199">
        <f t="shared" ref="H623" si="2946">(F623-F$2)/F$2</f>
        <v>0.38834181118290567</v>
      </c>
      <c r="I623" s="217">
        <v>440157.4</v>
      </c>
      <c r="J623" s="170">
        <v>400000</v>
      </c>
      <c r="K623" s="170">
        <f t="shared" ref="K623" si="2947">I623-I622-J623+J622</f>
        <v>522.5800000000163</v>
      </c>
      <c r="L623" s="168">
        <f t="shared" ref="L623" si="2948">K623/I622</f>
        <v>1.1886683588893535E-3</v>
      </c>
      <c r="M623" s="178">
        <f t="shared" ref="M623" si="2949">I623-J623</f>
        <v>40157.400000000023</v>
      </c>
      <c r="N623" s="180">
        <f t="shared" si="2885"/>
        <v>0.10039350000000005</v>
      </c>
      <c r="O623" s="179">
        <f t="shared" ref="O623" si="2950">N623/(A623/365.25)</f>
        <v>3.7880915160123985E-2</v>
      </c>
      <c r="P623" s="178" t="b">
        <f t="shared" ref="P623" si="2951">L623&gt;D623</f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ref="S623" si="2952">I623-R623</f>
        <v>60126.630000000005</v>
      </c>
      <c r="T623" s="170">
        <v>-37722</v>
      </c>
      <c r="U623" s="170">
        <f t="shared" ref="U623" si="2953">M623-T623</f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672"/>
        <v>0.67410499565368898</v>
      </c>
      <c r="Y623" s="171">
        <f t="shared" ref="Y623" si="2954">O623/W623</f>
        <v>0.13513158613696302</v>
      </c>
      <c r="Z623" s="784">
        <f t="shared" si="2891"/>
        <v>-0.15633201892087281</v>
      </c>
    </row>
    <row r="624" spans="1:26" ht="20.100000000000001" customHeight="1" x14ac:dyDescent="0.25">
      <c r="A624" s="160">
        <f t="shared" ref="A624" si="2955">B624-$B$2</f>
        <v>969</v>
      </c>
      <c r="B624" s="169">
        <v>43202</v>
      </c>
      <c r="C624" s="211">
        <v>2663.99</v>
      </c>
      <c r="D624" s="168">
        <f t="shared" ref="D624" si="2956">(C624-C623)/C623</f>
        <v>8.2507314008454079E-3</v>
      </c>
      <c r="E624" s="205">
        <f t="shared" ref="E624" si="2957">(C624-$C$2)/$C$2</f>
        <v>0.26709442362207708</v>
      </c>
      <c r="F624" s="215">
        <v>7140.24</v>
      </c>
      <c r="G624" s="168">
        <f t="shared" ref="G624" si="2958">(F624-F623)/F623</f>
        <v>1.0074946739434792E-2</v>
      </c>
      <c r="H624" s="199">
        <f t="shared" ref="H624" si="2959">(F624-F$2)/F$2</f>
        <v>0.40232928098670384</v>
      </c>
      <c r="I624" s="217">
        <v>442188.11</v>
      </c>
      <c r="J624" s="170">
        <v>400000</v>
      </c>
      <c r="K624" s="170">
        <f t="shared" ref="K624" si="2960">I624-I623-J624+J623</f>
        <v>2030.7099999999627</v>
      </c>
      <c r="L624" s="168">
        <f t="shared" ref="L624" si="2961">K624/I623</f>
        <v>4.6135995896012709E-3</v>
      </c>
      <c r="M624" s="178">
        <f t="shared" ref="M624" si="2962">I624-J624</f>
        <v>42188.109999999986</v>
      </c>
      <c r="N624" s="180">
        <f t="shared" ref="N624" si="2963">M624/J624</f>
        <v>0.10547027499999996</v>
      </c>
      <c r="O624" s="179">
        <f t="shared" ref="O624" si="2964">N624/(A624/365.25)</f>
        <v>3.9755436474458186E-2</v>
      </c>
      <c r="P624" s="178" t="b">
        <f t="shared" ref="P624" si="2965">L624&gt;D624</f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ref="S624" si="2966">I624-R624</f>
        <v>63886.559999999998</v>
      </c>
      <c r="T624" s="170">
        <v>-37422</v>
      </c>
      <c r="U624" s="170">
        <f t="shared" ref="U624" si="2967">M624-T624</f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672"/>
        <v>0.70074919934505686</v>
      </c>
      <c r="Y624" s="171">
        <f t="shared" ref="Y624" si="2968">O624/W624</f>
        <v>0.14192665225119655</v>
      </c>
      <c r="Z624" s="784">
        <f t="shared" ref="Z624" si="2969">-(E624-N624)</f>
        <v>-0.16162414862207714</v>
      </c>
    </row>
    <row r="625" spans="1:26" ht="20.100000000000001" customHeight="1" x14ac:dyDescent="0.25">
      <c r="A625" s="160">
        <f t="shared" ref="A625" si="2970">B625-$B$2</f>
        <v>970</v>
      </c>
      <c r="B625" s="169">
        <v>43203</v>
      </c>
      <c r="C625" s="211">
        <v>2656.3</v>
      </c>
      <c r="D625" s="168">
        <f t="shared" ref="D625" si="2971">(C625-C624)/C624</f>
        <v>-2.8866474724002721E-3</v>
      </c>
      <c r="E625" s="205">
        <f t="shared" ref="E625" si="2972">(C625-$C$2)/$C$2</f>
        <v>0.26343676870683591</v>
      </c>
      <c r="F625" s="215">
        <v>7106.65</v>
      </c>
      <c r="G625" s="168">
        <f t="shared" ref="G625" si="2973">(F625-F624)/F624</f>
        <v>-4.70432366419058E-3</v>
      </c>
      <c r="H625" s="199">
        <f t="shared" ref="H625" si="2974">(F625-F$2)/F$2</f>
        <v>0.39573227016517076</v>
      </c>
      <c r="I625" s="217">
        <v>443860.83</v>
      </c>
      <c r="J625" s="170">
        <v>400000</v>
      </c>
      <c r="K625" s="170">
        <f t="shared" ref="K625" si="2975">I625-I624-J625+J624</f>
        <v>1672.7200000000303</v>
      </c>
      <c r="L625" s="168">
        <f t="shared" ref="L625" si="2976">K625/I624</f>
        <v>3.7828244635524696E-3</v>
      </c>
      <c r="M625" s="178">
        <f t="shared" ref="M625" si="2977">I625-J625</f>
        <v>43860.830000000016</v>
      </c>
      <c r="N625" s="180">
        <f t="shared" ref="N625" si="2978">M625/J625</f>
        <v>0.10965207500000004</v>
      </c>
      <c r="O625" s="179">
        <f t="shared" ref="O625" si="2979">N625/(A625/365.25)</f>
        <v>4.1289093189433003E-2</v>
      </c>
      <c r="P625" s="178" t="b">
        <f t="shared" ref="P625" si="2980">L625&gt;D625</f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ref="S625" si="2981">I625-R625</f>
        <v>63886.540000000037</v>
      </c>
      <c r="T625" s="170">
        <v>-37097</v>
      </c>
      <c r="U625" s="170">
        <f t="shared" ref="U625" si="2982">M625-T625</f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672"/>
        <v>0.690921924430831</v>
      </c>
      <c r="Y625" s="171">
        <f t="shared" ref="Y625" si="2983">O625/W625</f>
        <v>0.14751635300570873</v>
      </c>
      <c r="Z625" s="784">
        <f t="shared" ref="Z625" si="2984">-(E625-N625)</f>
        <v>-0.15378469370683587</v>
      </c>
    </row>
    <row r="626" spans="1:26" ht="20.100000000000001" customHeight="1" x14ac:dyDescent="0.25">
      <c r="A626" s="160">
        <f t="shared" ref="A626" si="2985">B626-$B$2</f>
        <v>973</v>
      </c>
      <c r="B626" s="169">
        <v>43206</v>
      </c>
      <c r="C626" s="211">
        <v>2677.84</v>
      </c>
      <c r="D626" s="168">
        <f t="shared" ref="D626" si="2986">(C626-C625)/C625</f>
        <v>8.1090238301396531E-3</v>
      </c>
      <c r="E626" s="205">
        <f t="shared" ref="E626" si="2987">(C626-$C$2)/$C$2</f>
        <v>0.27368200757215427</v>
      </c>
      <c r="F626" s="215">
        <v>7156.28</v>
      </c>
      <c r="G626" s="168">
        <f t="shared" ref="G626" si="2988">(F626-F625)/F625</f>
        <v>6.9835998677295367E-3</v>
      </c>
      <c r="H626" s="199">
        <f t="shared" ref="H626" si="2989">(F626-F$2)/F$2</f>
        <v>0.4054795058624821</v>
      </c>
      <c r="I626" s="217">
        <v>447856.68</v>
      </c>
      <c r="J626" s="170">
        <v>400000</v>
      </c>
      <c r="K626" s="170">
        <f t="shared" ref="K626" si="2990">I626-I625-J626+J625</f>
        <v>3995.8499999999767</v>
      </c>
      <c r="L626" s="168">
        <f t="shared" ref="L626" si="2991">K626/I625</f>
        <v>9.0024839542610161E-3</v>
      </c>
      <c r="M626" s="178">
        <f t="shared" ref="M626" si="2992">I626-J626</f>
        <v>47856.679999999993</v>
      </c>
      <c r="N626" s="180">
        <f t="shared" ref="N626" si="2993">M626/J626</f>
        <v>0.11964169999999998</v>
      </c>
      <c r="O626" s="179">
        <f t="shared" ref="O626" si="2994">N626/(A626/365.25)</f>
        <v>4.4911748124357651E-2</v>
      </c>
      <c r="P626" s="178" t="b">
        <f t="shared" ref="P626" si="2995">L626&gt;D626</f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ref="S626" si="2996">I626-R626</f>
        <v>70260.339999999967</v>
      </c>
      <c r="T626" s="170">
        <v>-35997</v>
      </c>
      <c r="U626" s="170">
        <f t="shared" ref="U626" si="2997">M626-T626</f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672"/>
        <v>0.7157387438230991</v>
      </c>
      <c r="Y626" s="171">
        <f t="shared" ref="Y626" si="2998">O626/W626</f>
        <v>0.16055834497648935</v>
      </c>
      <c r="Z626" s="784">
        <f t="shared" ref="Z626" si="2999">-(E626-N626)</f>
        <v>-0.15404030757215431</v>
      </c>
    </row>
    <row r="627" spans="1:26" ht="20.100000000000001" customHeight="1" x14ac:dyDescent="0.25">
      <c r="A627" s="160">
        <f t="shared" ref="A627" si="3000">B627-$B$2</f>
        <v>974</v>
      </c>
      <c r="B627" s="169">
        <v>43207</v>
      </c>
      <c r="C627" s="211">
        <v>2706.39</v>
      </c>
      <c r="D627" s="168">
        <f t="shared" ref="D627" si="3001">(C627-C626)/C626</f>
        <v>1.0661577988229217E-2</v>
      </c>
      <c r="E627" s="205">
        <f t="shared" ref="E627" si="3002">(C627-$C$2)/$C$2</f>
        <v>0.28726146762808918</v>
      </c>
      <c r="F627" s="215">
        <v>7281.09</v>
      </c>
      <c r="G627" s="168">
        <f t="shared" ref="G627" si="3003">(F627-F626)/F626</f>
        <v>1.7440625576416853E-2</v>
      </c>
      <c r="H627" s="199">
        <f t="shared" ref="H627" si="3004">(F627-F$2)/F$2</f>
        <v>0.42999194767955701</v>
      </c>
      <c r="I627" s="217">
        <v>449537.42</v>
      </c>
      <c r="J627" s="170">
        <v>400000</v>
      </c>
      <c r="K627" s="170">
        <f t="shared" ref="K627" si="3005">I627-I626-J627+J626</f>
        <v>1680.7399999999907</v>
      </c>
      <c r="L627" s="168">
        <f t="shared" ref="L627" si="3006">K627/I626</f>
        <v>3.7528523633944474E-3</v>
      </c>
      <c r="M627" s="178">
        <f t="shared" ref="M627" si="3007">I627-J627</f>
        <v>49537.419999999984</v>
      </c>
      <c r="N627" s="180">
        <f t="shared" ref="N627" si="3008">M627/J627</f>
        <v>0.12384354999999996</v>
      </c>
      <c r="O627" s="179">
        <f t="shared" ref="O627" si="3009">N627/(A627/365.25)</f>
        <v>4.6441331249999988E-2</v>
      </c>
      <c r="P627" s="178" t="b">
        <f t="shared" ref="P627" si="3010">L627&gt;D627</f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ref="S627" si="3011">I627-R627</f>
        <v>70280.76999999996</v>
      </c>
      <c r="T627" s="170">
        <v>-35847</v>
      </c>
      <c r="U627" s="170">
        <f t="shared" ref="U627" si="3012">M627-T627</f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672"/>
        <v>0.75031317153967148</v>
      </c>
      <c r="Y627" s="171">
        <f>O627/W627</f>
        <v>0.16615530520555633</v>
      </c>
      <c r="Z627" s="784">
        <f t="shared" ref="Z627" si="3013">-(E627-N627)</f>
        <v>-0.16341791762808922</v>
      </c>
    </row>
    <row r="628" spans="1:26" ht="20.100000000000001" customHeight="1" x14ac:dyDescent="0.25">
      <c r="A628" s="160">
        <f t="shared" ref="A628" si="3014">B628-$B$2</f>
        <v>975</v>
      </c>
      <c r="B628" s="169">
        <v>43208</v>
      </c>
      <c r="C628" s="211">
        <v>2708.64</v>
      </c>
      <c r="D628" s="168">
        <f t="shared" ref="D628" si="3015">(C628-C627)/C627</f>
        <v>8.3136576768314994E-4</v>
      </c>
      <c r="E628" s="205">
        <f t="shared" ref="E628" si="3016">(C628-$C$2)/$C$2</f>
        <v>0.28833165274633271</v>
      </c>
      <c r="F628" s="215">
        <v>7295.23</v>
      </c>
      <c r="G628" s="168">
        <f t="shared" ref="G628" si="3017">(F628-F627)/F627</f>
        <v>1.9420169232902515E-3</v>
      </c>
      <c r="H628" s="199">
        <f t="shared" ref="H628" si="3018">(F628-F$2)/F$2</f>
        <v>0.4327690162421195</v>
      </c>
      <c r="I628" s="217">
        <v>450989.65</v>
      </c>
      <c r="J628" s="170">
        <v>400000</v>
      </c>
      <c r="K628" s="170">
        <f t="shared" ref="K628" si="3019">I628-I627-J628+J627</f>
        <v>1452.2300000000396</v>
      </c>
      <c r="L628" s="168">
        <f t="shared" ref="L628" si="3020">K628/I627</f>
        <v>3.230498586747327E-3</v>
      </c>
      <c r="M628" s="178">
        <f t="shared" ref="M628" si="3021">I628-J628</f>
        <v>50989.650000000023</v>
      </c>
      <c r="N628" s="180">
        <f t="shared" ref="N628" si="3022">M628/J628</f>
        <v>0.12747412500000005</v>
      </c>
      <c r="O628" s="179">
        <f t="shared" ref="O628" si="3023">N628/(A628/365.25)</f>
        <v>4.7753768365384634E-2</v>
      </c>
      <c r="P628" s="178" t="b">
        <f t="shared" ref="P628" si="3024">L628&gt;D628</f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ref="S628" si="3025">I628-R628</f>
        <v>82620.48000000004</v>
      </c>
      <c r="T628" s="170">
        <v>-34922</v>
      </c>
      <c r="U628" s="170">
        <f t="shared" ref="U628:U629" si="3026">M628-T628</f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672"/>
        <v>0.75293751728016878</v>
      </c>
      <c r="Y628" s="171">
        <f t="shared" ref="Y628" si="3027">O628/W628</f>
        <v>0.1709845112838326</v>
      </c>
      <c r="Z628" s="784">
        <f t="shared" ref="Z628" si="3028">-(E628-N628)</f>
        <v>-0.16085752774633266</v>
      </c>
    </row>
    <row r="629" spans="1:26" ht="20.100000000000001" customHeight="1" x14ac:dyDescent="0.25">
      <c r="A629" s="160">
        <f t="shared" ref="A629" si="3029">B629-$B$2</f>
        <v>976</v>
      </c>
      <c r="B629" s="169">
        <v>43209</v>
      </c>
      <c r="C629" s="211">
        <v>2693.13</v>
      </c>
      <c r="D629" s="168">
        <f t="shared" ref="D629" si="3030">(C629-C628)/C628</f>
        <v>-5.726120857699718E-3</v>
      </c>
      <c r="E629" s="205">
        <f t="shared" ref="E629" si="3031">(C629-$C$2)/$C$2</f>
        <v>0.28095450999790722</v>
      </c>
      <c r="F629" s="215">
        <v>7238.05</v>
      </c>
      <c r="G629" s="168">
        <f t="shared" ref="G629" si="3032">(F629-F628)/F628</f>
        <v>-7.8379982536533298E-3</v>
      </c>
      <c r="H629" s="199">
        <f t="shared" ref="H629" si="3033">(F629-F$2)/F$2</f>
        <v>0.42153897519492517</v>
      </c>
      <c r="I629" s="217">
        <v>446018.81</v>
      </c>
      <c r="J629" s="170">
        <v>400000</v>
      </c>
      <c r="K629" s="170">
        <f t="shared" ref="K629" si="3034">I629-I628-J629+J628</f>
        <v>-4970.8400000000256</v>
      </c>
      <c r="L629" s="168">
        <f t="shared" ref="L629" si="3035">K629/I628</f>
        <v>-1.1022071127352978E-2</v>
      </c>
      <c r="M629" s="178">
        <f t="shared" ref="M629" si="3036">I629-J629</f>
        <v>46018.81</v>
      </c>
      <c r="N629" s="180">
        <f t="shared" ref="N629" si="3037">M629/J629</f>
        <v>0.115047025</v>
      </c>
      <c r="O629" s="179">
        <f t="shared" ref="O629" si="3038">N629/(A629/365.25)</f>
        <v>4.3054227337346311E-2</v>
      </c>
      <c r="P629" s="178" t="b">
        <f t="shared" ref="P629" si="3039">L629&gt;D629</f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ref="S629" si="3040">I629-R629</f>
        <v>64497.479999999981</v>
      </c>
      <c r="T629" s="170">
        <v>-35722</v>
      </c>
      <c r="U629" s="170">
        <f t="shared" si="3026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672"/>
        <v>0.73323443093213536</v>
      </c>
      <c r="Y629" s="171">
        <f t="shared" ref="Y629" si="3041">O629/W629</f>
        <v>0.15422768451315264</v>
      </c>
      <c r="Z629" s="784">
        <f t="shared" ref="Z629" si="3042">-(E629-N629)</f>
        <v>-0.16590748499790722</v>
      </c>
    </row>
    <row r="630" spans="1:26" ht="20.100000000000001" customHeight="1" x14ac:dyDescent="0.25">
      <c r="A630" s="160">
        <f t="shared" ref="A630" si="3043">B630-$B$2</f>
        <v>977</v>
      </c>
      <c r="B630" s="169">
        <v>43210</v>
      </c>
      <c r="C630" s="211">
        <v>2670.14</v>
      </c>
      <c r="D630" s="168">
        <f t="shared" ref="D630:D635" si="3044">(C630-C629)/C629</f>
        <v>-8.536535555283345E-3</v>
      </c>
      <c r="E630" s="205">
        <f t="shared" ref="E630" si="3045">(C630-$C$2)/$C$2</f>
        <v>0.2700195962786095</v>
      </c>
      <c r="F630" s="215">
        <v>7146.13</v>
      </c>
      <c r="G630" s="168">
        <f t="shared" ref="G630:G635" si="3046">(F630-F629)/F629</f>
        <v>-1.2699553056417139E-2</v>
      </c>
      <c r="H630" s="199">
        <f t="shared" ref="H630:H635" si="3047">(F630-F$2)/F$2</f>
        <v>0.40348606555767236</v>
      </c>
      <c r="I630" s="217">
        <v>445087.3</v>
      </c>
      <c r="J630" s="170">
        <v>400000</v>
      </c>
      <c r="K630" s="170">
        <f t="shared" ref="K630:K635" si="3048">I630-I629-J630+J629</f>
        <v>-931.51000000000931</v>
      </c>
      <c r="L630" s="168">
        <f t="shared" ref="L630:L635" si="3049">K630/I629</f>
        <v>-2.0884993617197654E-3</v>
      </c>
      <c r="M630" s="178">
        <f t="shared" ref="M630" si="3050">I630-J630</f>
        <v>45087.299999999988</v>
      </c>
      <c r="N630" s="180">
        <f t="shared" ref="N630" si="3051">M630/J630</f>
        <v>0.11271824999999996</v>
      </c>
      <c r="O630" s="179">
        <f t="shared" ref="O630" si="3052">N630/(A630/365.25)</f>
        <v>4.2139550473387903E-2</v>
      </c>
      <c r="P630" s="178" t="b">
        <f t="shared" ref="P630" si="3053">L630&gt;D630</f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ref="S630" si="3054">I630-R630</f>
        <v>77881.929999999993</v>
      </c>
      <c r="T630" s="170">
        <v>-35573</v>
      </c>
      <c r="U630" s="170">
        <f t="shared" ref="U630" si="3055">M630-T630</f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672"/>
        <v>0.70398364144780734</v>
      </c>
      <c r="Y630" s="171">
        <f t="shared" ref="Y630" si="3056">O630/W630</f>
        <v>0.15106902152568102</v>
      </c>
      <c r="Z630" s="784">
        <f t="shared" ref="Z630" si="3057">-(E630-N630)</f>
        <v>-0.15730134627860953</v>
      </c>
    </row>
    <row r="631" spans="1:26" ht="20.100000000000001" customHeight="1" x14ac:dyDescent="0.25">
      <c r="A631" s="160">
        <f t="shared" ref="A631" si="3058">B631-$B$2</f>
        <v>980</v>
      </c>
      <c r="B631" s="169">
        <v>43213</v>
      </c>
      <c r="C631" s="211">
        <v>2670.29</v>
      </c>
      <c r="D631" s="168">
        <f t="shared" si="3044"/>
        <v>5.6176829679376721E-5</v>
      </c>
      <c r="E631" s="205">
        <f t="shared" ref="E631" si="3059">(C631-$C$2)/$C$2</f>
        <v>0.27009094195315914</v>
      </c>
      <c r="F631" s="215">
        <v>7128.6</v>
      </c>
      <c r="G631" s="168">
        <f t="shared" si="3046"/>
        <v>-2.4530760005765E-3</v>
      </c>
      <c r="H631" s="199">
        <f t="shared" si="3047"/>
        <v>0.40004320757310929</v>
      </c>
      <c r="I631" s="217">
        <v>449342.79</v>
      </c>
      <c r="J631" s="170">
        <v>400000</v>
      </c>
      <c r="K631" s="170">
        <f t="shared" si="3048"/>
        <v>4255.4899999999907</v>
      </c>
      <c r="L631" s="168">
        <f t="shared" si="3049"/>
        <v>9.5610231970222267E-3</v>
      </c>
      <c r="M631" s="178">
        <f t="shared" ref="M631" si="3060">I631-J631</f>
        <v>49342.789999999979</v>
      </c>
      <c r="N631" s="180">
        <f t="shared" ref="N631" si="3061">M631/J631</f>
        <v>0.12335697499999995</v>
      </c>
      <c r="O631" s="179">
        <f t="shared" ref="O631" si="3062">N631/(A631/365.25)</f>
        <v>4.5975648080357125E-2</v>
      </c>
      <c r="P631" s="178" t="b">
        <f t="shared" ref="P631" si="3063">L631&gt;D631</f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ref="S631" si="3064">I631-R631</f>
        <v>92634.539999999979</v>
      </c>
      <c r="T631" s="170">
        <v>-33898</v>
      </c>
      <c r="U631" s="170">
        <f t="shared" ref="U631" si="3065">M631-T631</f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672"/>
        <v>0.70257271158312462</v>
      </c>
      <c r="Y631" s="171">
        <f t="shared" ref="Y631:Y636" si="3066">O631/W631</f>
        <v>0.16491791754072008</v>
      </c>
      <c r="Z631" s="784">
        <f t="shared" ref="Z631" si="3067">-(E631-N631)</f>
        <v>-0.14673396695315918</v>
      </c>
    </row>
    <row r="632" spans="1:26" ht="20.100000000000001" customHeight="1" x14ac:dyDescent="0.25">
      <c r="A632" s="160">
        <f t="shared" ref="A632" si="3068">B632-$B$2</f>
        <v>981</v>
      </c>
      <c r="B632" s="169">
        <v>43214</v>
      </c>
      <c r="C632" s="211">
        <v>2634.56</v>
      </c>
      <c r="D632" s="168">
        <f t="shared" si="3044"/>
        <v>-1.3380569151665182E-2</v>
      </c>
      <c r="E632" s="205">
        <f t="shared" ref="E632" si="3069">(C632-$C$2)/$C$2</f>
        <v>0.25309640227545133</v>
      </c>
      <c r="F632" s="215">
        <v>7007.35</v>
      </c>
      <c r="G632" s="168">
        <f t="shared" si="3046"/>
        <v>-1.70089498639284E-2</v>
      </c>
      <c r="H632" s="199">
        <f t="shared" si="3047"/>
        <v>0.3762299428481648</v>
      </c>
      <c r="I632" s="217">
        <v>448523.78</v>
      </c>
      <c r="J632" s="170">
        <v>400000</v>
      </c>
      <c r="K632" s="170">
        <f t="shared" si="3048"/>
        <v>-819.00999999995111</v>
      </c>
      <c r="L632" s="168">
        <f t="shared" si="3049"/>
        <v>-1.8226841917279926E-3</v>
      </c>
      <c r="M632" s="178">
        <f t="shared" ref="M632" si="3070">I632-J632</f>
        <v>48523.780000000028</v>
      </c>
      <c r="N632" s="180">
        <f t="shared" ref="N632" si="3071">M632/J632</f>
        <v>0.12130945000000007</v>
      </c>
      <c r="O632" s="179">
        <f t="shared" ref="O632" si="3072">N632/(A632/365.25)</f>
        <v>4.5166438952599412E-2</v>
      </c>
      <c r="P632" s="178" t="b">
        <f t="shared" ref="P632" si="3073">L632&gt;D632</f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ref="S632" si="3074">I632-R632</f>
        <v>108790.45000000001</v>
      </c>
      <c r="T632" s="170">
        <v>-32782</v>
      </c>
      <c r="U632" s="170">
        <f t="shared" ref="U632" si="3075">M632-T632</f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672"/>
        <v>0.65699805424017199</v>
      </c>
      <c r="Y632" s="171">
        <f t="shared" si="3066"/>
        <v>0.16214185334253745</v>
      </c>
      <c r="Z632" s="784">
        <f t="shared" ref="Z632" si="3076">-(E632-N632)</f>
        <v>-0.13178695227545126</v>
      </c>
    </row>
    <row r="633" spans="1:26" ht="20.100000000000001" customHeight="1" x14ac:dyDescent="0.25">
      <c r="A633" s="160">
        <f t="shared" ref="A633" si="3077">B633-$B$2</f>
        <v>982</v>
      </c>
      <c r="B633" s="169">
        <v>43215</v>
      </c>
      <c r="C633" s="211">
        <v>2639.4</v>
      </c>
      <c r="D633" s="168">
        <f t="shared" si="3044"/>
        <v>1.8371189116968851E-3</v>
      </c>
      <c r="E633" s="205">
        <f t="shared" ref="E633" si="3078">(C633-$C$2)/$C$2</f>
        <v>0.25539848937425086</v>
      </c>
      <c r="F633" s="215">
        <v>7003.73</v>
      </c>
      <c r="G633" s="168">
        <f t="shared" si="3046"/>
        <v>-5.1660042669494173E-4</v>
      </c>
      <c r="H633" s="199">
        <f t="shared" si="3047"/>
        <v>0.37551898187245908</v>
      </c>
      <c r="I633" s="217">
        <v>451776.44</v>
      </c>
      <c r="J633" s="170">
        <v>400000</v>
      </c>
      <c r="K633" s="170">
        <f t="shared" si="3048"/>
        <v>3252.6599999999744</v>
      </c>
      <c r="L633" s="168">
        <f t="shared" si="3049"/>
        <v>7.2519231867705525E-3</v>
      </c>
      <c r="M633" s="178">
        <f t="shared" ref="M633" si="3079">I633-J633</f>
        <v>51776.44</v>
      </c>
      <c r="N633" s="180">
        <f t="shared" ref="N633" si="3080">M633/J633</f>
        <v>0.1294411</v>
      </c>
      <c r="O633" s="179">
        <f t="shared" ref="O633" si="3081">N633/(A633/365.25)</f>
        <v>4.8144971257637476E-2</v>
      </c>
      <c r="P633" s="178" t="b">
        <f t="shared" ref="P633" si="3082">L633&gt;D633</f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ref="S633" si="3083">I633-R633</f>
        <v>108790.45000000001</v>
      </c>
      <c r="T633" s="170">
        <v>-32687</v>
      </c>
      <c r="U633" s="170">
        <f t="shared" ref="U633" si="3084">M633-T633</f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672"/>
        <v>0.66281171352818635</v>
      </c>
      <c r="Y633" s="171">
        <f t="shared" si="3066"/>
        <v>0.17295158753869727</v>
      </c>
      <c r="Z633" s="784">
        <f t="shared" ref="Z633" si="3085">-(E633-N633)</f>
        <v>-0.12595738937425086</v>
      </c>
    </row>
    <row r="634" spans="1:26" ht="20.100000000000001" customHeight="1" x14ac:dyDescent="0.25">
      <c r="A634" s="160">
        <f t="shared" ref="A634" si="3086">B634-$B$2</f>
        <v>983</v>
      </c>
      <c r="B634" s="169">
        <v>43216</v>
      </c>
      <c r="C634" s="211">
        <v>2666.94</v>
      </c>
      <c r="D634" s="168">
        <f t="shared" si="3044"/>
        <v>1.0434189588542836E-2</v>
      </c>
      <c r="E634" s="205">
        <f t="shared" ref="E634" si="3087">(C634-$C$2)/$C$2</f>
        <v>0.26849755522155211</v>
      </c>
      <c r="F634" s="215">
        <v>7118.67</v>
      </c>
      <c r="G634" s="168">
        <f t="shared" si="3046"/>
        <v>1.6411255145472557E-2</v>
      </c>
      <c r="H634" s="199">
        <f t="shared" si="3047"/>
        <v>0.39809297484140865</v>
      </c>
      <c r="I634" s="217">
        <v>455463.88</v>
      </c>
      <c r="J634" s="170">
        <v>400000</v>
      </c>
      <c r="K634" s="170">
        <f t="shared" si="3048"/>
        <v>3687.4400000000023</v>
      </c>
      <c r="L634" s="168">
        <f t="shared" si="3049"/>
        <v>8.1620900815456473E-3</v>
      </c>
      <c r="M634" s="178">
        <f t="shared" ref="M634" si="3088">I634-J634</f>
        <v>55463.880000000005</v>
      </c>
      <c r="N634" s="180">
        <f t="shared" ref="N634" si="3089">M634/J634</f>
        <v>0.13865970000000002</v>
      </c>
      <c r="O634" s="179">
        <f t="shared" ref="O634" si="3090">N634/(A634/365.25)</f>
        <v>5.1521317828077326E-2</v>
      </c>
      <c r="P634" s="178" t="b">
        <f t="shared" ref="P634" si="3091">L634&gt;D634</f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ref="S634" si="3092">I634-R634</f>
        <v>108711.34999999998</v>
      </c>
      <c r="T634" s="170">
        <v>-32492</v>
      </c>
      <c r="U634" s="170">
        <f t="shared" ref="U634" si="3093">M634-T634</f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672"/>
        <v>0.69596915831272854</v>
      </c>
      <c r="Y634" s="171">
        <f t="shared" si="3066"/>
        <v>0.18519955861424656</v>
      </c>
      <c r="Z634" s="784">
        <f t="shared" ref="Z634" si="3094">-(E634-N634)</f>
        <v>-0.12983785522155208</v>
      </c>
    </row>
    <row r="635" spans="1:26" ht="20.100000000000001" customHeight="1" x14ac:dyDescent="0.25">
      <c r="A635" s="160">
        <f t="shared" ref="A635" si="3095">B635-$B$2</f>
        <v>984</v>
      </c>
      <c r="B635" s="169">
        <v>43217</v>
      </c>
      <c r="C635" s="211">
        <v>2669.91</v>
      </c>
      <c r="D635" s="168">
        <f t="shared" si="3044"/>
        <v>1.1136358523250616E-3</v>
      </c>
      <c r="E635" s="205">
        <f t="shared" ref="E635" si="3096">(C635-$C$2)/$C$2</f>
        <v>0.26991019957763351</v>
      </c>
      <c r="F635" s="215">
        <v>7119.79</v>
      </c>
      <c r="G635" s="168">
        <f t="shared" si="3046"/>
        <v>1.5733276019254874E-4</v>
      </c>
      <c r="H635" s="199">
        <f t="shared" si="3047"/>
        <v>0.39831294066814626</v>
      </c>
      <c r="I635" s="217">
        <f>455928.5</f>
        <v>455928.5</v>
      </c>
      <c r="J635" s="170">
        <v>400000</v>
      </c>
      <c r="K635" s="170">
        <f t="shared" si="3048"/>
        <v>464.61999999999534</v>
      </c>
      <c r="L635" s="168">
        <f t="shared" si="3049"/>
        <v>1.0201028454770011E-3</v>
      </c>
      <c r="M635" s="178">
        <f t="shared" ref="M635" si="3097">I635-J635</f>
        <v>55928.5</v>
      </c>
      <c r="N635" s="180">
        <f t="shared" ref="N635" si="3098">M635/J635</f>
        <v>0.13982125000000001</v>
      </c>
      <c r="O635" s="179">
        <f t="shared" ref="O635" si="3099">N635/(A635/365.25)</f>
        <v>5.1900113376524393E-2</v>
      </c>
      <c r="P635" s="178" t="b">
        <f t="shared" ref="P635" si="3100">L635&gt;D635</f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ref="S635" si="3101">I635-R635</f>
        <v>112340.52000000002</v>
      </c>
      <c r="T635" s="170">
        <v>-32412</v>
      </c>
      <c r="U635" s="170">
        <f t="shared" ref="U635" si="3102">M635-T635</f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672"/>
        <v>0.69947015660285927</v>
      </c>
      <c r="Y635" s="171">
        <f t="shared" si="3066"/>
        <v>0.18670884962840681</v>
      </c>
      <c r="Z635" s="784">
        <f t="shared" ref="Z635" si="3103">-(E635-N635)</f>
        <v>-0.13008894957763351</v>
      </c>
    </row>
    <row r="636" spans="1:26" ht="20.100000000000001" customHeight="1" x14ac:dyDescent="0.25">
      <c r="A636" s="160">
        <f t="shared" ref="A636" si="3104">B636-$B$2</f>
        <v>987</v>
      </c>
      <c r="B636" s="169">
        <v>43220</v>
      </c>
      <c r="C636" s="211">
        <v>2648.05</v>
      </c>
      <c r="D636" s="168">
        <f t="shared" ref="D636" si="3105">(C636-C635)/C635</f>
        <v>-8.1875419021613747E-3</v>
      </c>
      <c r="E636" s="205">
        <f t="shared" ref="E636" si="3106">(C636-$C$2)/$C$2</f>
        <v>0.2595127566066095</v>
      </c>
      <c r="F636" s="215">
        <v>7066.27</v>
      </c>
      <c r="G636" s="168">
        <f t="shared" ref="G636" si="3107">(F636-F635)/F635</f>
        <v>-7.5170756440849414E-3</v>
      </c>
      <c r="H636" s="199">
        <f t="shared" ref="H636" si="3108">(F636-F$2)/F$2</f>
        <v>0.38780171651904094</v>
      </c>
      <c r="I636" s="462">
        <v>453815.46</v>
      </c>
      <c r="J636" s="170">
        <v>400000</v>
      </c>
      <c r="K636" s="170">
        <f t="shared" ref="K636" si="3109">I636-I635-J636+J635</f>
        <v>-2113.039999999979</v>
      </c>
      <c r="L636" s="168">
        <f t="shared" ref="L636" si="3110">K636/I635</f>
        <v>-4.6345863441306671E-3</v>
      </c>
      <c r="M636" s="462">
        <f t="shared" ref="M636" si="3111">I636-J636</f>
        <v>53815.460000000021</v>
      </c>
      <c r="N636" s="180">
        <f t="shared" ref="N636" si="3112">M636/J636</f>
        <v>0.13453865000000007</v>
      </c>
      <c r="O636" s="179">
        <f t="shared" ref="O636" si="3113">N636/(A636/365.25)</f>
        <v>4.978747914133741E-2</v>
      </c>
      <c r="P636" s="178" t="b">
        <f t="shared" ref="P636" si="3114">L636&gt;D636</f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ref="S636" si="3115">I636-R636</f>
        <v>115632.05000000005</v>
      </c>
      <c r="T636" s="170">
        <v>-32877</v>
      </c>
      <c r="U636" s="170">
        <f t="shared" ref="U636" si="3116">M636-T636</f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672"/>
        <v>0.67052971564394903</v>
      </c>
      <c r="Y636" s="171">
        <f t="shared" si="3066"/>
        <v>0.17923795099523673</v>
      </c>
      <c r="Z636" s="784">
        <f t="shared" ref="Z636" si="3117">-(E636-N636)</f>
        <v>-0.12497410660660943</v>
      </c>
    </row>
    <row r="637" spans="1:26" ht="20.100000000000001" customHeight="1" x14ac:dyDescent="0.25">
      <c r="A637" s="160">
        <f t="shared" ref="A637" si="3118">B637-$B$2</f>
        <v>988</v>
      </c>
      <c r="B637" s="169">
        <v>43221</v>
      </c>
      <c r="C637" s="211">
        <v>2654.8</v>
      </c>
      <c r="D637" s="168">
        <f t="shared" ref="D637" si="3119">(C637-C636)/C636</f>
        <v>2.5490455240648776E-3</v>
      </c>
      <c r="E637" s="205">
        <f t="shared" ref="E637" si="3120">(C637-$C$2)/$C$2</f>
        <v>0.26272331196134019</v>
      </c>
      <c r="F637" s="215">
        <v>7130.7</v>
      </c>
      <c r="G637" s="168">
        <f t="shared" ref="G637" si="3121">(F637-F636)/F636</f>
        <v>9.1179646404679383E-3</v>
      </c>
      <c r="H637" s="199">
        <f t="shared" ref="H637" si="3122">(F637-F$2)/F$2</f>
        <v>0.40045564349824225</v>
      </c>
      <c r="I637" s="822">
        <v>452706.55</v>
      </c>
      <c r="J637" s="170">
        <v>400000</v>
      </c>
      <c r="K637" s="170">
        <f t="shared" ref="K637" si="3123">I637-I636-J637+J636</f>
        <v>-1108.9100000000326</v>
      </c>
      <c r="L637" s="168">
        <f t="shared" ref="L637" si="3124">K637/I636</f>
        <v>-2.4435262738735971E-3</v>
      </c>
      <c r="M637" s="178">
        <f t="shared" ref="M637" si="3125">I637-J637</f>
        <v>52706.549999999988</v>
      </c>
      <c r="N637" s="180">
        <f t="shared" ref="N637" si="3126">M637/J637</f>
        <v>0.13176637499999996</v>
      </c>
      <c r="O637" s="179">
        <f t="shared" ref="O637" si="3127">N637/(A637/365.25)</f>
        <v>4.8712215049342096E-2</v>
      </c>
      <c r="P637" s="178" t="b">
        <f t="shared" ref="P637" si="3128">L637&gt;D637</f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ref="S637" si="3129">I637-R637</f>
        <v>103735.95999999996</v>
      </c>
      <c r="T637" s="170">
        <v>-33575</v>
      </c>
      <c r="U637" s="170">
        <f t="shared" ref="U637" si="3130">M637-T637</f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672"/>
        <v>0.67864329489886477</v>
      </c>
      <c r="Y637" s="171">
        <f t="shared" ref="Y637" si="3131">O637/W637</f>
        <v>0.1755013699897579</v>
      </c>
      <c r="Z637" s="784">
        <f t="shared" ref="Z637" si="3132">-(E637-N637)</f>
        <v>-0.13095693696134023</v>
      </c>
    </row>
    <row r="638" spans="1:26" ht="20.100000000000001" customHeight="1" x14ac:dyDescent="0.25">
      <c r="A638" s="160">
        <f t="shared" ref="A638" si="3133">B638-$B$2</f>
        <v>989</v>
      </c>
      <c r="B638" s="169">
        <v>43222</v>
      </c>
      <c r="C638" s="211">
        <v>2635.67</v>
      </c>
      <c r="D638" s="168">
        <f t="shared" ref="D638" si="3134">(C638-C637)/C637</f>
        <v>-7.2058158806690177E-3</v>
      </c>
      <c r="E638" s="205">
        <f t="shared" ref="E638" si="3135">(C638-$C$2)/$C$2</f>
        <v>0.25362436026711821</v>
      </c>
      <c r="F638" s="215">
        <v>7100.89</v>
      </c>
      <c r="G638" s="168">
        <f t="shared" ref="G638" si="3136">(F638-F637)/F637</f>
        <v>-4.1805152369331893E-3</v>
      </c>
      <c r="H638" s="199">
        <f t="shared" ref="H638" si="3137">(F638-F$2)/F$2</f>
        <v>0.3946010173419488</v>
      </c>
      <c r="I638" s="822">
        <v>450912.32</v>
      </c>
      <c r="J638" s="170">
        <v>400000</v>
      </c>
      <c r="K638" s="170">
        <f t="shared" ref="K638" si="3138">I638-I637-J638+J637</f>
        <v>-1794.2299999999814</v>
      </c>
      <c r="L638" s="168">
        <f t="shared" ref="L638" si="3139">K638/I637</f>
        <v>-3.9633400488682602E-3</v>
      </c>
      <c r="M638" s="178">
        <f t="shared" ref="M638" si="3140">I638-J638</f>
        <v>50912.320000000007</v>
      </c>
      <c r="N638" s="180">
        <f t="shared" ref="N638" si="3141">M638/J638</f>
        <v>0.12728080000000003</v>
      </c>
      <c r="O638" s="179">
        <f t="shared" ref="O638" si="3142">N638/(A638/365.25)</f>
        <v>4.7006382406471196E-2</v>
      </c>
      <c r="P638" s="178" t="b">
        <f t="shared" ref="P638" si="3143">L638&gt;D638</f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ref="S638" si="3144">I638-R638</f>
        <v>95918.950000000012</v>
      </c>
      <c r="T638" s="170">
        <v>-33995</v>
      </c>
      <c r="U638" s="170">
        <f t="shared" ref="U638" si="3145">M638-T638</f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672"/>
        <v>0.65462568707262703</v>
      </c>
      <c r="Y638" s="171">
        <f t="shared" ref="Y638" si="3146">O638/W638</f>
        <v>0.16948022561261805</v>
      </c>
      <c r="Z638" s="784">
        <f t="shared" ref="Z638" si="3147">-(E638-N638)</f>
        <v>-0.12634356026711818</v>
      </c>
    </row>
    <row r="639" spans="1:26" ht="20.100000000000001" customHeight="1" x14ac:dyDescent="0.25">
      <c r="A639" s="160">
        <f t="shared" ref="A639" si="3148">B639-$B$2</f>
        <v>990</v>
      </c>
      <c r="B639" s="169">
        <v>43223</v>
      </c>
      <c r="C639" s="211">
        <v>2629.373</v>
      </c>
      <c r="D639" s="168">
        <f t="shared" ref="D639" si="3149">(C639-C638)/C638</f>
        <v>-2.3891458338866495E-3</v>
      </c>
      <c r="E639" s="205">
        <f t="shared" ref="E639" si="3150">(C639-$C$2)/$C$2</f>
        <v>0.25062926884952719</v>
      </c>
      <c r="F639" s="215">
        <v>7088.15</v>
      </c>
      <c r="G639" s="168">
        <f t="shared" ref="G639" si="3151">(F639-F638)/F638</f>
        <v>-1.7941412977810797E-3</v>
      </c>
      <c r="H639" s="199">
        <f t="shared" ref="H639" si="3152">(F639-F$2)/F$2</f>
        <v>0.39209890606280806</v>
      </c>
      <c r="I639" s="822">
        <v>452277.59</v>
      </c>
      <c r="J639" s="170">
        <v>400000</v>
      </c>
      <c r="K639" s="170">
        <f t="shared" ref="K639" si="3153">I639-I638-J639+J638</f>
        <v>1365.2700000000186</v>
      </c>
      <c r="L639" s="168">
        <f t="shared" ref="L639" si="3154">K639/I638</f>
        <v>3.0277948493401523E-3</v>
      </c>
      <c r="M639" s="178">
        <f t="shared" ref="M639" si="3155">I639-J639</f>
        <v>52277.590000000026</v>
      </c>
      <c r="N639" s="180">
        <f t="shared" ref="N639" si="3156">M639/J639</f>
        <v>0.13069397500000007</v>
      </c>
      <c r="O639" s="179">
        <f t="shared" ref="O639" si="3157">N639/(A639/365.25)</f>
        <v>4.8218155928030325E-2</v>
      </c>
      <c r="P639" s="178" t="b">
        <f t="shared" ref="P639" si="3158">L639&gt;D639</f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ref="S639" si="3159">I639-R639</f>
        <v>104298.82</v>
      </c>
      <c r="T639" s="170">
        <v>-35355</v>
      </c>
      <c r="U639" s="170">
        <f t="shared" ref="U639" si="3160">M639-T639</f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61">E639/(A639/365.25)/V639</f>
        <v>0.6467017846977352</v>
      </c>
      <c r="Y639" s="171">
        <f t="shared" ref="Y639" si="3162">O639/W639</f>
        <v>0.17398328349008801</v>
      </c>
      <c r="Z639" s="784">
        <f t="shared" ref="Z639" si="3163">-(E639-N639)</f>
        <v>-0.11993529384952711</v>
      </c>
    </row>
    <row r="640" spans="1:26" ht="20.100000000000001" customHeight="1" x14ac:dyDescent="0.25">
      <c r="A640" s="160">
        <f t="shared" ref="A640" si="3164">B640-$B$2</f>
        <v>991</v>
      </c>
      <c r="B640" s="169">
        <v>43224</v>
      </c>
      <c r="C640" s="211">
        <v>2663.42</v>
      </c>
      <c r="D640" s="168">
        <f t="shared" ref="D640" si="3165">(C640-C639)/C639</f>
        <v>1.2948714389324004E-2</v>
      </c>
      <c r="E640" s="205">
        <f t="shared" ref="E640" si="3166">(C640-$C$2)/$C$2</f>
        <v>0.26682331005878884</v>
      </c>
      <c r="F640" s="215">
        <v>7209.61</v>
      </c>
      <c r="G640" s="168">
        <f t="shared" ref="G640" si="3167">(F640-F639)/F639</f>
        <v>1.7135641881167871E-2</v>
      </c>
      <c r="H640" s="199">
        <f t="shared" ref="H640" si="3168">(F640-F$2)/F$2</f>
        <v>0.4159534143802659</v>
      </c>
      <c r="I640" s="822">
        <v>457844.7</v>
      </c>
      <c r="J640" s="170">
        <v>400000</v>
      </c>
      <c r="K640" s="170">
        <f t="shared" ref="K640" si="3169">I640-I639-J640+J639</f>
        <v>5567.109999999986</v>
      </c>
      <c r="L640" s="168">
        <f t="shared" ref="L640" si="3170">K640/I639</f>
        <v>1.2309055595701715E-2</v>
      </c>
      <c r="M640" s="178">
        <f t="shared" ref="M640" si="3171">I640-J640</f>
        <v>57844.700000000012</v>
      </c>
      <c r="N640" s="180">
        <f t="shared" ref="N640" si="3172">M640/J640</f>
        <v>0.14461175000000004</v>
      </c>
      <c r="O640" s="179">
        <f t="shared" ref="O640" si="3173">N640/(A640/365.25)</f>
        <v>5.3299133892532803E-2</v>
      </c>
      <c r="P640" s="178" t="b">
        <f t="shared" ref="P640" si="3174">L640&gt;D640</f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ref="S640" si="3175">I640-R640</f>
        <v>116337.69</v>
      </c>
      <c r="T640" s="170">
        <v>-34815</v>
      </c>
      <c r="U640" s="170">
        <f t="shared" ref="U640" si="3176">M640-T640</f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61"/>
        <v>0.68728550691537571</v>
      </c>
      <c r="Y640" s="171">
        <f t="shared" ref="Y640" si="3177">O640/W640</f>
        <v>0.19239918891500063</v>
      </c>
      <c r="Z640" s="784">
        <f t="shared" ref="Z640" si="3178">-(E640-N640)</f>
        <v>-0.1222115600587888</v>
      </c>
    </row>
    <row r="641" spans="1:26" ht="20.100000000000001" customHeight="1" x14ac:dyDescent="0.25">
      <c r="A641" s="160">
        <f t="shared" ref="A641" si="3179">B641-$B$2</f>
        <v>994</v>
      </c>
      <c r="B641" s="169">
        <v>43227</v>
      </c>
      <c r="C641" s="211">
        <v>2672.63</v>
      </c>
      <c r="D641" s="168">
        <f t="shared" ref="D641" si="3180">(C641-C640)/C640</f>
        <v>3.4579600663808322E-3</v>
      </c>
      <c r="E641" s="205">
        <f t="shared" ref="E641" si="3181">(C641-$C$2)/$C$2</f>
        <v>0.2712039344761325</v>
      </c>
      <c r="F641" s="215">
        <v>7265.21</v>
      </c>
      <c r="G641" s="168">
        <f t="shared" ref="G641" si="3182">(F641-F640)/F640</f>
        <v>7.711928939290803E-3</v>
      </c>
      <c r="H641" s="199">
        <f t="shared" ref="H641" si="3183">(F641-F$2)/F$2</f>
        <v>0.42687314649331271</v>
      </c>
      <c r="I641" s="822">
        <v>456957.86</v>
      </c>
      <c r="J641" s="170">
        <v>400000</v>
      </c>
      <c r="K641" s="170">
        <f t="shared" ref="K641" si="3184">I641-I640-J641+J640</f>
        <v>-886.84000000002561</v>
      </c>
      <c r="L641" s="168">
        <f t="shared" ref="L641" si="3185">K641/I640</f>
        <v>-1.9369886776018715E-3</v>
      </c>
      <c r="M641" s="178">
        <f t="shared" ref="M641" si="3186">I641-J641</f>
        <v>56957.859999999986</v>
      </c>
      <c r="N641" s="180">
        <f t="shared" ref="N641" si="3187">M641/J641</f>
        <v>0.14239464999999996</v>
      </c>
      <c r="O641" s="179">
        <f t="shared" ref="O641" si="3188">N641/(A641/365.25)</f>
        <v>5.2323587437122718E-2</v>
      </c>
      <c r="P641" s="178" t="b">
        <f t="shared" ref="P641" si="3189">L641&gt;D641</f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ref="S641" si="3190">I641-R641</f>
        <v>130234.57</v>
      </c>
      <c r="T641" s="170">
        <v>-35135</v>
      </c>
      <c r="U641" s="170">
        <f t="shared" ref="U641" si="3191">M641-T641</f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61"/>
        <v>0.69694485698870945</v>
      </c>
      <c r="Y641" s="171">
        <f t="shared" ref="Y641" si="3192">O641/W641</f>
        <v>0.18902284291543675</v>
      </c>
      <c r="Z641" s="784">
        <f t="shared" ref="Z641" si="3193">-(E641-N641)</f>
        <v>-0.12880928447613255</v>
      </c>
    </row>
    <row r="642" spans="1:26" ht="20.100000000000001" customHeight="1" x14ac:dyDescent="0.25">
      <c r="A642" s="160">
        <f t="shared" ref="A642" si="3194">B642-$B$2</f>
        <v>995</v>
      </c>
      <c r="B642" s="169">
        <v>43228</v>
      </c>
      <c r="C642" s="211">
        <v>2671.92</v>
      </c>
      <c r="D642" s="168">
        <f t="shared" ref="D642" si="3195">(C642-C641)/C641</f>
        <v>-2.6565592693340878E-4</v>
      </c>
      <c r="E642" s="205">
        <f t="shared" ref="E642" si="3196">(C642-$C$2)/$C$2</f>
        <v>0.27086623161659784</v>
      </c>
      <c r="F642" s="215">
        <v>7266.9</v>
      </c>
      <c r="G642" s="168">
        <f t="shared" ref="G642" si="3197">(F642-F641)/F641</f>
        <v>2.3261543713114967E-4</v>
      </c>
      <c r="H642" s="199">
        <f t="shared" ref="H642" si="3198">(F642-F$2)/F$2</f>
        <v>0.42720505921401497</v>
      </c>
      <c r="I642" s="822">
        <v>457631.51</v>
      </c>
      <c r="J642" s="170">
        <v>400000</v>
      </c>
      <c r="K642" s="170">
        <f t="shared" ref="K642" si="3199">I642-I641-J642+J641</f>
        <v>673.65000000002328</v>
      </c>
      <c r="L642" s="168">
        <f t="shared" ref="L642" si="3200">K642/I641</f>
        <v>1.4742059585100982E-3</v>
      </c>
      <c r="M642" s="178">
        <f t="shared" ref="M642" si="3201">I642-J642</f>
        <v>57631.510000000009</v>
      </c>
      <c r="N642" s="180">
        <f t="shared" ref="N642" si="3202">M642/J642</f>
        <v>0.14407877500000002</v>
      </c>
      <c r="O642" s="179">
        <f t="shared" ref="O642" si="3203">N642/(A642/365.25)</f>
        <v>5.2889218662060311E-2</v>
      </c>
      <c r="P642" s="178" t="b">
        <f t="shared" ref="P642" si="3204">L642&gt;D642</f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ref="S642" si="3205">I642-R642</f>
        <v>108806.58000000002</v>
      </c>
      <c r="T642" s="170">
        <v>-34915</v>
      </c>
      <c r="U642" s="170">
        <f t="shared" ref="U642" si="3206">M642-T642</f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61"/>
        <v>0.69591908069554453</v>
      </c>
      <c r="Y642" s="171">
        <f t="shared" ref="Y642" si="3207">O642/W642</f>
        <v>0.19121548651720474</v>
      </c>
      <c r="Z642" s="784">
        <f t="shared" ref="Z642" si="3208">-(E642-N642)</f>
        <v>-0.12678745661659782</v>
      </c>
    </row>
    <row r="643" spans="1:26" ht="20.100000000000001" customHeight="1" x14ac:dyDescent="0.25">
      <c r="A643" s="160">
        <f t="shared" ref="A643" si="3209">B643-$B$2</f>
        <v>996</v>
      </c>
      <c r="B643" s="169">
        <v>43229</v>
      </c>
      <c r="C643" s="211">
        <v>2697.79</v>
      </c>
      <c r="D643" s="168">
        <f t="shared" ref="D643" si="3210">(C643-C642)/C642</f>
        <v>9.6821761130572361E-3</v>
      </c>
      <c r="E643" s="205">
        <f t="shared" ref="E643" si="3211">(C643-$C$2)/$C$2</f>
        <v>0.28317098228724713</v>
      </c>
      <c r="F643" s="215">
        <v>7339.9</v>
      </c>
      <c r="G643" s="168">
        <f t="shared" ref="G643" si="3212">(F643-F642)/F642</f>
        <v>1.0045548996133153E-2</v>
      </c>
      <c r="H643" s="199">
        <f t="shared" ref="H643" si="3213">(F643-F$2)/F$2</f>
        <v>0.44154211756387846</v>
      </c>
      <c r="I643" s="822">
        <v>461579.02</v>
      </c>
      <c r="J643" s="170">
        <v>400000</v>
      </c>
      <c r="K643" s="170">
        <f t="shared" ref="K643" si="3214">I643-I642-J643+J642</f>
        <v>3947.5100000000093</v>
      </c>
      <c r="L643" s="168">
        <f t="shared" ref="L643" si="3215">K643/I642</f>
        <v>8.6259575963202554E-3</v>
      </c>
      <c r="M643" s="178">
        <f t="shared" ref="M643" si="3216">I643-J643</f>
        <v>61579.020000000019</v>
      </c>
      <c r="N643" s="180">
        <f t="shared" ref="N643" si="3217">M643/J643</f>
        <v>0.15394755000000004</v>
      </c>
      <c r="O643" s="179">
        <f t="shared" ref="O643" si="3218">N643/(A643/365.25)</f>
        <v>5.6455163290662663E-2</v>
      </c>
      <c r="P643" s="178" t="b">
        <f t="shared" ref="P643" si="3219">L643&gt;D643</f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ref="S643" si="3220">I643-R643</f>
        <v>109945.47000000003</v>
      </c>
      <c r="T643" s="170">
        <v>-34375</v>
      </c>
      <c r="U643" s="170">
        <f t="shared" ref="U643" si="3221">M643-T643</f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61"/>
        <v>0.72676921769310943</v>
      </c>
      <c r="Y643" s="171">
        <f t="shared" ref="Y643" si="3222">O643/W643</f>
        <v>0.20423316666455604</v>
      </c>
      <c r="Z643" s="784">
        <f t="shared" ref="Z643" si="3223">-(E643-N643)</f>
        <v>-0.12922343228724709</v>
      </c>
    </row>
    <row r="644" spans="1:26" ht="20.100000000000001" customHeight="1" x14ac:dyDescent="0.25">
      <c r="A644" s="160">
        <f t="shared" ref="A644" si="3224">B644-$B$2</f>
        <v>997</v>
      </c>
      <c r="B644" s="169">
        <v>43230</v>
      </c>
      <c r="C644" s="211">
        <v>2723.07</v>
      </c>
      <c r="D644" s="168">
        <f t="shared" ref="D644" si="3225">(C644-C643)/C643</f>
        <v>9.3706329996034541E-3</v>
      </c>
      <c r="E644" s="205">
        <f t="shared" ref="E644" si="3226">(C644-$C$2)/$C$2</f>
        <v>0.29519510663800158</v>
      </c>
      <c r="F644" s="215">
        <v>7404.97</v>
      </c>
      <c r="G644" s="168">
        <f t="shared" ref="G644" si="3227">(F644-F643)/F643</f>
        <v>8.8652433956866745E-3</v>
      </c>
      <c r="H644" s="199">
        <f t="shared" ref="H644" si="3228">(F644-F$2)/F$2</f>
        <v>0.45432173930121583</v>
      </c>
      <c r="I644" s="822">
        <v>464024.89</v>
      </c>
      <c r="J644" s="170">
        <v>400000</v>
      </c>
      <c r="K644" s="170">
        <f t="shared" ref="K644" si="3229">I644-I643-J644+J643</f>
        <v>2445.8699999999953</v>
      </c>
      <c r="L644" s="168">
        <f t="shared" ref="L644" si="3230">K644/I643</f>
        <v>5.2989193486306964E-3</v>
      </c>
      <c r="M644" s="178">
        <f t="shared" ref="M644" si="3231">I644-J644</f>
        <v>64024.890000000014</v>
      </c>
      <c r="N644" s="180">
        <f t="shared" ref="N644" si="3232">M644/J644</f>
        <v>0.16006222500000003</v>
      </c>
      <c r="O644" s="179">
        <f t="shared" ref="O644" si="3233">N644/(A644/365.25)</f>
        <v>5.8638643612086268E-2</v>
      </c>
      <c r="P644" s="178" t="b">
        <f t="shared" ref="P644" si="3234">L644&gt;D644</f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ref="S644" si="3235">I644-R644</f>
        <v>116798.47000000003</v>
      </c>
      <c r="T644" s="170">
        <v>-34375</v>
      </c>
      <c r="U644" s="170">
        <f t="shared" ref="U644" si="3236">M644-T644</f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61"/>
        <v>0.75687840094146508</v>
      </c>
      <c r="Y644" s="171">
        <f t="shared" ref="Y644" si="3237">O644/W644</f>
        <v>0.21228557939468987</v>
      </c>
      <c r="Z644" s="784">
        <f t="shared" ref="Z644" si="3238">-(E644-N644)</f>
        <v>-0.13513288163800155</v>
      </c>
    </row>
    <row r="645" spans="1:26" ht="20.100000000000001" customHeight="1" x14ac:dyDescent="0.25">
      <c r="A645" s="160">
        <f t="shared" ref="A645" si="3239">B645-$B$2</f>
        <v>998</v>
      </c>
      <c r="B645" s="169">
        <v>43231</v>
      </c>
      <c r="C645" s="211">
        <v>2727.72</v>
      </c>
      <c r="D645" s="168">
        <f t="shared" ref="D645" si="3240">(C645-C644)/C644</f>
        <v>1.7076314600798495E-3</v>
      </c>
      <c r="E645" s="205">
        <f t="shared" ref="E645" si="3241">(C645-$C$2)/$C$2</f>
        <v>0.29740682254903811</v>
      </c>
      <c r="F645" s="215">
        <v>7402.88</v>
      </c>
      <c r="G645" s="168">
        <f t="shared" ref="G645" si="3242">(F645-F644)/F644</f>
        <v>-2.8224287201705686E-4</v>
      </c>
      <c r="H645" s="199">
        <f t="shared" ref="H645" si="3243">(F645-F$2)/F$2</f>
        <v>0.45391126735667858</v>
      </c>
      <c r="I645" s="822">
        <v>464999.67</v>
      </c>
      <c r="J645" s="170">
        <v>400000</v>
      </c>
      <c r="K645" s="170">
        <f t="shared" ref="K645" si="3244">I645-I644-J645+J644</f>
        <v>974.77999999996973</v>
      </c>
      <c r="L645" s="168">
        <f t="shared" ref="L645" si="3245">K645/I644</f>
        <v>2.1007062789238952E-3</v>
      </c>
      <c r="M645" s="178">
        <f t="shared" ref="M645" si="3246">I645-J645</f>
        <v>64999.669999999984</v>
      </c>
      <c r="N645" s="180">
        <f t="shared" ref="N645" si="3247">M645/J645</f>
        <v>0.16249917499999997</v>
      </c>
      <c r="O645" s="179">
        <f t="shared" ref="O645" si="3248">N645/(A645/365.25)</f>
        <v>5.9471767203156299E-2</v>
      </c>
      <c r="P645" s="178" t="b">
        <f t="shared" ref="P645" si="3249">L645&gt;D645</f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ref="S645" si="3250">I645-R645</f>
        <v>116803.91999999998</v>
      </c>
      <c r="T645" s="170">
        <v>-33955</v>
      </c>
      <c r="U645" s="170">
        <f t="shared" ref="U645" si="3251">M645-T645</f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" si="3252">E645/(A645/365.25)/V645</f>
        <v>0.76236742085984766</v>
      </c>
      <c r="Y645" s="171">
        <f t="shared" ref="Y645" si="3253">O645/W645</f>
        <v>0.21546826043632036</v>
      </c>
      <c r="Z645" s="784">
        <f t="shared" ref="Z645" si="3254">-(E645-N645)</f>
        <v>-0.13490764754903814</v>
      </c>
    </row>
    <row r="646" spans="1:26" ht="20.100000000000001" customHeight="1" x14ac:dyDescent="0.25">
      <c r="A646" s="160">
        <f t="shared" ref="A646" si="3255">B646-$B$2</f>
        <v>1001</v>
      </c>
      <c r="B646" s="169">
        <v>43234</v>
      </c>
      <c r="C646" s="211">
        <v>2730.13</v>
      </c>
      <c r="D646" s="168">
        <f t="shared" ref="D646" si="3256">(C646-C645)/C645</f>
        <v>8.8352176909664831E-4</v>
      </c>
      <c r="E646" s="205">
        <f t="shared" ref="E646" si="3257">(C646-$C$2)/$C$2</f>
        <v>0.29855310972013471</v>
      </c>
      <c r="F646" s="215">
        <v>7411.31</v>
      </c>
      <c r="G646" s="168">
        <f t="shared" ref="G646" si="3258">(F646-F645)/F645</f>
        <v>1.1387460015561904E-3</v>
      </c>
      <c r="H646" s="199">
        <f t="shared" ref="H646" si="3259">(F646-F$2)/F$2</f>
        <v>0.45556690299899849</v>
      </c>
      <c r="I646" s="822">
        <v>467579.22</v>
      </c>
      <c r="J646" s="170">
        <v>400000</v>
      </c>
      <c r="K646" s="170">
        <f t="shared" ref="K646" si="3260">I646-I645-J646+J645</f>
        <v>2579.5499999999884</v>
      </c>
      <c r="L646" s="168">
        <f t="shared" ref="L646" si="3261">K646/I645</f>
        <v>5.5474232917197309E-3</v>
      </c>
      <c r="M646" s="178">
        <f t="shared" ref="M646" si="3262">I646-J646</f>
        <v>67579.219999999972</v>
      </c>
      <c r="N646" s="180">
        <f t="shared" ref="N646" si="3263">M646/J646</f>
        <v>0.16894804999999993</v>
      </c>
      <c r="O646" s="179">
        <f t="shared" ref="O646" si="3264">N646/(A646/365.25)</f>
        <v>6.1646628633866114E-2</v>
      </c>
      <c r="P646" s="178" t="b">
        <f t="shared" ref="P646" si="3265">L646&gt;D646</f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ref="S646" si="3266">I646-R646</f>
        <v>137313.41999999998</v>
      </c>
      <c r="T646" s="170">
        <v>-33635</v>
      </c>
      <c r="U646" s="170">
        <f t="shared" ref="U646" si="3267">M646-T646</f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ref="X646" si="3268">E646/(A646/365.25)/V646</f>
        <v>0.76360477547195693</v>
      </c>
      <c r="Y646" s="171">
        <f t="shared" ref="Y646" si="3269">O646/W646</f>
        <v>0.223507512355025</v>
      </c>
      <c r="Z646" s="784">
        <f t="shared" ref="Z646" si="3270">-(E646-N646)</f>
        <v>-0.12960505972013478</v>
      </c>
    </row>
    <row r="647" spans="1:26" ht="20.100000000000001" customHeight="1" x14ac:dyDescent="0.25">
      <c r="A647" s="160">
        <f t="shared" ref="A647" si="3271">B647-$B$2</f>
        <v>1002</v>
      </c>
      <c r="B647" s="169">
        <v>43235</v>
      </c>
      <c r="C647" s="211">
        <v>2711.45</v>
      </c>
      <c r="D647" s="168">
        <f t="shared" ref="D647" si="3272">(C647-C646)/C646</f>
        <v>-6.8421650251088012E-3</v>
      </c>
      <c r="E647" s="205">
        <f t="shared" ref="E647" si="3273">(C647-$C$2)/$C$2</f>
        <v>0.28966819504956132</v>
      </c>
      <c r="F647" s="215">
        <v>7351.62</v>
      </c>
      <c r="G647" s="168">
        <f t="shared" ref="G647" si="3274">(F647-F646)/F646</f>
        <v>-8.0539067992029083E-3</v>
      </c>
      <c r="H647" s="199">
        <f t="shared" ref="H647" si="3275">(F647-F$2)/F$2</f>
        <v>0.44384390282224012</v>
      </c>
      <c r="I647" s="822">
        <v>466861.67</v>
      </c>
      <c r="J647" s="170">
        <v>400000</v>
      </c>
      <c r="K647" s="170">
        <f t="shared" ref="K647" si="3276">I647-I646-J647+J646</f>
        <v>-717.54999999998836</v>
      </c>
      <c r="L647" s="168">
        <f t="shared" ref="L647" si="3277">K647/I646</f>
        <v>-1.5346062641534591E-3</v>
      </c>
      <c r="M647" s="178">
        <f t="shared" ref="M647" si="3278">I647-J647</f>
        <v>66861.669999999984</v>
      </c>
      <c r="N647" s="180">
        <f t="shared" ref="N647" si="3279">M647/J647</f>
        <v>0.16715417499999996</v>
      </c>
      <c r="O647" s="179">
        <f t="shared" ref="O647" si="3280">N647/(A647/365.25)</f>
        <v>6.0931200018712564E-2</v>
      </c>
      <c r="P647" s="178" t="b">
        <f t="shared" ref="P647" si="3281">L647&gt;D647</f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ref="S647" si="3282">I647-R647</f>
        <v>137317.34999999998</v>
      </c>
      <c r="T647" s="170">
        <v>-33595</v>
      </c>
      <c r="U647" s="170">
        <f t="shared" ref="U647" si="3283">M647-T647</f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ref="X647" si="3284">E647/(A647/365.25)/V647</f>
        <v>0.74033792695325229</v>
      </c>
      <c r="Y647" s="171">
        <f t="shared" ref="Y647" si="3285">O647/W647</f>
        <v>0.22108280940535838</v>
      </c>
      <c r="Z647" s="784">
        <f t="shared" ref="Z647" si="3286">-(E647-N647)</f>
        <v>-0.12251402004956136</v>
      </c>
    </row>
    <row r="648" spans="1:26" ht="20.100000000000001" customHeight="1" x14ac:dyDescent="0.25">
      <c r="A648" s="160">
        <f t="shared" ref="A648" si="3287">B648-$B$2</f>
        <v>1003</v>
      </c>
      <c r="B648" s="169">
        <v>43236</v>
      </c>
      <c r="C648" s="211">
        <v>2722.46</v>
      </c>
      <c r="D648" s="168">
        <f t="shared" ref="D648" si="3288">(C648-C647)/C647</f>
        <v>4.0605580040200704E-3</v>
      </c>
      <c r="E648" s="205">
        <f t="shared" ref="E648" si="3289">(C648-$C$2)/$C$2</f>
        <v>0.29490496756149998</v>
      </c>
      <c r="F648" s="215">
        <v>7398.29</v>
      </c>
      <c r="G648" s="168">
        <f t="shared" ref="G648" si="3290">(F648-F647)/F647</f>
        <v>6.3482606554745857E-3</v>
      </c>
      <c r="H648" s="199">
        <f t="shared" ref="H648" si="3291">(F648-F$2)/F$2</f>
        <v>0.45300980026317345</v>
      </c>
      <c r="I648" s="822">
        <v>469460.39</v>
      </c>
      <c r="J648" s="170">
        <v>400000</v>
      </c>
      <c r="K648" s="170">
        <f t="shared" ref="K648" si="3292">I648-I647-J648+J647</f>
        <v>2598.7200000000303</v>
      </c>
      <c r="L648" s="168">
        <f t="shared" ref="L648" si="3293">K648/I647</f>
        <v>5.5663597313526086E-3</v>
      </c>
      <c r="M648" s="178">
        <f t="shared" ref="M648" si="3294">I648-J648</f>
        <v>69460.390000000014</v>
      </c>
      <c r="N648" s="180">
        <f t="shared" ref="N648" si="3295">M648/J648</f>
        <v>0.17365097500000004</v>
      </c>
      <c r="O648" s="179">
        <f t="shared" ref="O648" si="3296">N648/(A648/365.25)</f>
        <v>6.323630968968097E-2</v>
      </c>
      <c r="P648" s="178" t="b">
        <f t="shared" ref="P648" si="3297">L648&gt;D648</f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ref="S648" si="3298">I648-R648</f>
        <v>140361.66000000003</v>
      </c>
      <c r="T648" s="170">
        <v>-33215</v>
      </c>
      <c r="U648" s="170">
        <f t="shared" ref="U648" si="3299">M648-T648</f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ref="X648" si="3300">E648/(A648/365.25)/V648</f>
        <v>0.75345993437295689</v>
      </c>
      <c r="Y648" s="171">
        <f t="shared" ref="Y648" si="3301">O648/W648</f>
        <v>0.22961004698720813</v>
      </c>
      <c r="Z648" s="784">
        <f t="shared" ref="Z648" si="3302">-(E648-N648)</f>
        <v>-0.12125399256149993</v>
      </c>
    </row>
    <row r="649" spans="1:26" ht="20.100000000000001" customHeight="1" x14ac:dyDescent="0.25">
      <c r="A649" s="160">
        <f t="shared" ref="A649" si="3303">B649-$B$2</f>
        <v>1004</v>
      </c>
      <c r="B649" s="169">
        <v>43237</v>
      </c>
      <c r="C649" s="211">
        <v>2720.13</v>
      </c>
      <c r="D649" s="168">
        <f t="shared" ref="D649" si="3304">(C649-C648)/C648</f>
        <v>-8.5584361202733085E-4</v>
      </c>
      <c r="E649" s="205">
        <f t="shared" ref="E649" si="3305">(C649-$C$2)/$C$2</f>
        <v>0.29379673141682999</v>
      </c>
      <c r="F649" s="215">
        <v>7382.47</v>
      </c>
      <c r="G649" s="168">
        <f t="shared" ref="G649" si="3306">(F649-F648)/F648</f>
        <v>-2.1383319659001891E-3</v>
      </c>
      <c r="H649" s="199">
        <f t="shared" ref="H649" si="3307">(F649-F$2)/F$2</f>
        <v>0.44990278296050445</v>
      </c>
      <c r="I649" s="822">
        <v>471759.89</v>
      </c>
      <c r="J649" s="170">
        <v>400000</v>
      </c>
      <c r="K649" s="170">
        <f t="shared" ref="K649" si="3308">I649-I648-J649+J648</f>
        <v>2299.5</v>
      </c>
      <c r="L649" s="168">
        <f t="shared" ref="L649" si="3309">K649/I648</f>
        <v>4.8981768195608582E-3</v>
      </c>
      <c r="M649" s="178">
        <f t="shared" ref="M649" si="3310">I649-J649</f>
        <v>71759.890000000014</v>
      </c>
      <c r="N649" s="180">
        <f t="shared" ref="N649" si="3311">M649/J649</f>
        <v>0.17939972500000004</v>
      </c>
      <c r="O649" s="179">
        <f t="shared" ref="O649" si="3312">N649/(A649/365.25)</f>
        <v>6.5264690793077701E-2</v>
      </c>
      <c r="P649" s="178" t="b">
        <f t="shared" ref="P649" si="3313">L649&gt;D649</f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" si="3314">I649-R649</f>
        <v>137684.47000000003</v>
      </c>
      <c r="T649" s="170">
        <v>-32602</v>
      </c>
      <c r="U649" s="170">
        <f t="shared" ref="U649" si="3315">M649-T649</f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ref="X649" si="3316">E649/(A649/365.25)/V649</f>
        <v>0.75044980844476061</v>
      </c>
      <c r="Y649" s="171">
        <f t="shared" ref="Y649" si="3317">O649/W649</f>
        <v>0.23714735396080902</v>
      </c>
      <c r="Z649" s="784">
        <f t="shared" ref="Z649" si="3318">-(E649-N649)</f>
        <v>-0.11439700641682995</v>
      </c>
    </row>
    <row r="650" spans="1:26" ht="20.100000000000001" customHeight="1" x14ac:dyDescent="0.25">
      <c r="A650" s="160">
        <f t="shared" ref="A650" si="3319">B650-$B$2</f>
        <v>1005</v>
      </c>
      <c r="B650" s="169">
        <v>43238</v>
      </c>
      <c r="C650" s="211">
        <v>2712.97</v>
      </c>
      <c r="D650" s="168">
        <f t="shared" ref="D650" si="3320">(C650-C649)/C649</f>
        <v>-2.6322271362031629E-3</v>
      </c>
      <c r="E650" s="205">
        <f t="shared" ref="E650" si="3321">(C650-$C$2)/$C$2</f>
        <v>0.29039116455166364</v>
      </c>
      <c r="F650" s="215">
        <v>7354.33</v>
      </c>
      <c r="G650" s="168">
        <f t="shared" ref="G650" si="3322">(F650-F649)/F649</f>
        <v>-3.8117323876697535E-3</v>
      </c>
      <c r="H650" s="199">
        <f t="shared" ref="H650" si="3323">(F650-F$2)/F$2</f>
        <v>0.44437614156372141</v>
      </c>
      <c r="I650" s="822">
        <v>368892.97</v>
      </c>
      <c r="J650" s="170">
        <v>300000</v>
      </c>
      <c r="K650" s="170">
        <f t="shared" ref="K650" si="3324">I650-I649-J650+J649</f>
        <v>-2866.9200000000419</v>
      </c>
      <c r="L650" s="168">
        <f t="shared" ref="L650" si="3325">K650/I649</f>
        <v>-6.0770745049988075E-3</v>
      </c>
      <c r="M650" s="178">
        <f t="shared" ref="M650" si="3326">I650-J650</f>
        <v>68892.969999999972</v>
      </c>
      <c r="N650" s="180">
        <f t="shared" ref="N650" si="3327">M650/J650</f>
        <v>0.22964323333333325</v>
      </c>
      <c r="O650" s="179">
        <f t="shared" ref="O650" si="3328">N650/(A650/365.25)</f>
        <v>8.3459891517412899E-2</v>
      </c>
      <c r="P650" s="178" t="b">
        <f t="shared" ref="P650" si="3329">L650&gt;D650</f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ref="S650" si="3330">I650-R650</f>
        <v>37684.489999999991</v>
      </c>
      <c r="T650" s="170">
        <v>-33172</v>
      </c>
      <c r="U650" s="170">
        <f t="shared" ref="U650" si="3331">M650-T650</f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ref="X650" si="3332">E650/(A650/365.25)/V650</f>
        <v>0.74151904911669486</v>
      </c>
      <c r="Y650" s="171">
        <f t="shared" ref="Y650" si="3333">O650/W650</f>
        <v>0.30346180483229784</v>
      </c>
      <c r="Z650" s="784">
        <f t="shared" ref="Z650" si="3334">-(E650-N650)</f>
        <v>-6.0747931218330387E-2</v>
      </c>
    </row>
    <row r="651" spans="1:26" ht="20.100000000000001" customHeight="1" x14ac:dyDescent="0.25">
      <c r="A651" s="160">
        <f t="shared" ref="A651" si="3335">B651-$B$2</f>
        <v>1008</v>
      </c>
      <c r="B651" s="169">
        <v>43241</v>
      </c>
      <c r="C651" s="211">
        <v>2733.01</v>
      </c>
      <c r="D651" s="168">
        <f t="shared" ref="D651" si="3336">(C651-C650)/C650</f>
        <v>7.386738519040174E-3</v>
      </c>
      <c r="E651" s="205">
        <f t="shared" ref="E651" si="3337">(C651-$C$2)/$C$2</f>
        <v>0.29992294667148656</v>
      </c>
      <c r="F651" s="215">
        <v>7394.03</v>
      </c>
      <c r="G651" s="168">
        <f t="shared" ref="G651" si="3338">(F651-F650)/F650</f>
        <v>5.3981803916875936E-3</v>
      </c>
      <c r="H651" s="199">
        <f t="shared" ref="H651" si="3339">(F651-F$2)/F$2</f>
        <v>0.45217314452933205</v>
      </c>
      <c r="I651" s="822">
        <v>370544.71</v>
      </c>
      <c r="J651" s="170">
        <v>300000</v>
      </c>
      <c r="K651" s="170">
        <f t="shared" ref="K651" si="3340">I651-I650-J651+J650</f>
        <v>1651.7400000000489</v>
      </c>
      <c r="L651" s="168">
        <f t="shared" ref="L651" si="3341">K651/I650</f>
        <v>4.4775588973681151E-3</v>
      </c>
      <c r="M651" s="178">
        <f t="shared" ref="M651" si="3342">I651-J651</f>
        <v>70544.710000000021</v>
      </c>
      <c r="N651" s="180">
        <f t="shared" ref="N651" si="3343">M651/J651</f>
        <v>0.2351490333333334</v>
      </c>
      <c r="O651" s="179">
        <f t="shared" ref="O651" si="3344">N651/(A651/365.25)</f>
        <v>8.5206532167658749E-2</v>
      </c>
      <c r="P651" s="178" t="b">
        <f t="shared" ref="P651" si="3345">L651&gt;D651</f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ref="S651" si="3346">I651-R651</f>
        <v>59564.19</v>
      </c>
      <c r="T651" s="170">
        <v>-33411</v>
      </c>
      <c r="U651" s="170">
        <f t="shared" ref="U651" si="3347">M651-T651</f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ref="X651" si="3348">E651/(A651/365.25)/V651</f>
        <v>0.76381476965862527</v>
      </c>
      <c r="Y651" s="171">
        <f t="shared" ref="Y651" si="3349">O651/W651</f>
        <v>0.31003985732553174</v>
      </c>
      <c r="Z651" s="784">
        <f t="shared" ref="Z651" si="3350">-(E651-N651)</f>
        <v>-6.4773913338153161E-2</v>
      </c>
    </row>
    <row r="652" spans="1:26" ht="20.100000000000001" customHeight="1" x14ac:dyDescent="0.25">
      <c r="A652" s="160">
        <f t="shared" ref="A652" si="3351">B652-$B$2</f>
        <v>1009</v>
      </c>
      <c r="B652" s="169">
        <v>43242</v>
      </c>
      <c r="C652" s="211">
        <v>2724.44</v>
      </c>
      <c r="D652" s="168">
        <f t="shared" ref="D652" si="3352">(C652-C651)/C651</f>
        <v>-3.1357367883762454E-3</v>
      </c>
      <c r="E652" s="205">
        <f t="shared" ref="E652" si="3353">(C652-$C$2)/$C$2</f>
        <v>0.29584673046555432</v>
      </c>
      <c r="F652" s="215">
        <v>7378.45</v>
      </c>
      <c r="G652" s="168">
        <f t="shared" ref="G652" si="3354">(F652-F651)/F651</f>
        <v>-2.1071053268650422E-3</v>
      </c>
      <c r="H652" s="199">
        <f t="shared" ref="H652" si="3355">(F652-F$2)/F$2</f>
        <v>0.44911326276096392</v>
      </c>
      <c r="I652" s="822">
        <v>369224.1</v>
      </c>
      <c r="J652" s="170">
        <v>300000</v>
      </c>
      <c r="K652" s="170">
        <f t="shared" ref="K652" si="3356">I652-I651-J652+J651</f>
        <v>-1320.6100000000442</v>
      </c>
      <c r="L652" s="168">
        <f t="shared" ref="L652" si="3357">K652/I651</f>
        <v>-3.5639693790259323E-3</v>
      </c>
      <c r="M652" s="178">
        <f t="shared" ref="M652" si="3358">I652-J652</f>
        <v>69224.099999999977</v>
      </c>
      <c r="N652" s="180">
        <f t="shared" ref="N652" si="3359">M652/J652</f>
        <v>0.23074699999999992</v>
      </c>
      <c r="O652" s="179">
        <f t="shared" ref="O652" si="3360">N652/(A652/365.25)</f>
        <v>8.3528584489593632E-2</v>
      </c>
      <c r="P652" s="178" t="b">
        <f t="shared" ref="P652" si="3361">L652&gt;D652</f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ref="S652" si="3362">I652-R652</f>
        <v>59581.109999999986</v>
      </c>
      <c r="T652" s="170">
        <v>-33552</v>
      </c>
      <c r="U652" s="170">
        <f t="shared" ref="U652" si="3363">M652-T652</f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ref="X652" si="3364">E652/(A652/365.25)/V652</f>
        <v>0.75317512290461208</v>
      </c>
      <c r="Y652" s="171">
        <f t="shared" ref="Y652" si="3365">O652/W652</f>
        <v>0.30415528360616906</v>
      </c>
      <c r="Z652" s="784">
        <f t="shared" ref="Z652" si="3366">-(E652-N652)</f>
        <v>-6.5099730465554395E-2</v>
      </c>
    </row>
    <row r="653" spans="1:26" ht="20.100000000000001" customHeight="1" x14ac:dyDescent="0.25">
      <c r="A653" s="160">
        <f t="shared" ref="A653" si="3367">B653-$B$2</f>
        <v>1010</v>
      </c>
      <c r="B653" s="169">
        <v>43243</v>
      </c>
      <c r="C653" s="211">
        <v>2733.29</v>
      </c>
      <c r="D653" s="168">
        <f t="shared" ref="D653" si="3368">(C653-C652)/C652</f>
        <v>3.2483739777715453E-3</v>
      </c>
      <c r="E653" s="205">
        <f t="shared" ref="E653" si="3369">(C653-$C$2)/$C$2</f>
        <v>0.30005612526397896</v>
      </c>
      <c r="F653" s="215">
        <v>7425.95</v>
      </c>
      <c r="G653" s="168">
        <f t="shared" ref="G653" si="3370">(F653-F652)/F652</f>
        <v>6.4376664475601243E-3</v>
      </c>
      <c r="H653" s="199">
        <f t="shared" ref="H653" si="3371">(F653-F$2)/F$2</f>
        <v>0.45844217059135456</v>
      </c>
      <c r="I653" s="822">
        <v>369307.32</v>
      </c>
      <c r="J653" s="170">
        <v>300000</v>
      </c>
      <c r="K653" s="170">
        <f t="shared" ref="K653" si="3372">I653-I652-J653+J652</f>
        <v>83.220000000030268</v>
      </c>
      <c r="L653" s="168">
        <f t="shared" ref="L653" si="3373">K653/I652</f>
        <v>2.2539157113533561E-4</v>
      </c>
      <c r="M653" s="178">
        <f t="shared" ref="M653" si="3374">I653-J653</f>
        <v>69307.320000000007</v>
      </c>
      <c r="N653" s="180">
        <f t="shared" ref="N653" si="3375">M653/J653</f>
        <v>0.23102440000000002</v>
      </c>
      <c r="O653" s="179">
        <f t="shared" ref="O653" si="3376">N653/(A653/365.25)</f>
        <v>8.3546200099009912E-2</v>
      </c>
      <c r="P653" s="178" t="b">
        <f t="shared" ref="P653" si="3377">L653&gt;D653</f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ref="S653" si="3378">I653-R653</f>
        <v>64765.340000000026</v>
      </c>
      <c r="T653" s="170">
        <v>-33811</v>
      </c>
      <c r="U653" s="170">
        <f t="shared" ref="U653" si="3379">M653-T653</f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ref="X653" si="3380">E653/(A653/365.25)/V653</f>
        <v>0.76366510643891128</v>
      </c>
      <c r="Y653" s="171">
        <f t="shared" ref="Y653" si="3381">O653/W653</f>
        <v>0.30445361411090577</v>
      </c>
      <c r="Z653" s="784">
        <f t="shared" ref="Z653" si="3382">-(E653-N653)</f>
        <v>-6.9031725263978938E-2</v>
      </c>
    </row>
    <row r="654" spans="1:26" ht="20.100000000000001" customHeight="1" x14ac:dyDescent="0.25">
      <c r="A654" s="160">
        <f t="shared" ref="A654" si="3383">B654-$B$2</f>
        <v>1011</v>
      </c>
      <c r="B654" s="169">
        <v>43244</v>
      </c>
      <c r="C654" s="211">
        <v>2727.76</v>
      </c>
      <c r="D654" s="168">
        <f t="shared" ref="D654" si="3384">(C654-C653)/C653</f>
        <v>-2.0232028068736742E-3</v>
      </c>
      <c r="E654" s="205">
        <f t="shared" ref="E654" si="3385">(C654-$C$2)/$C$2</f>
        <v>0.29742584806225153</v>
      </c>
      <c r="F654" s="215">
        <v>7424.42</v>
      </c>
      <c r="G654" s="168">
        <f t="shared" ref="G654" si="3386">(F654-F653)/F653</f>
        <v>-2.0603424477672828E-4</v>
      </c>
      <c r="H654" s="199">
        <f t="shared" ref="H654" si="3387">(F654-F$2)/F$2</f>
        <v>0.45814168156018625</v>
      </c>
      <c r="I654" s="822">
        <v>369717.91</v>
      </c>
      <c r="J654" s="170">
        <v>300000</v>
      </c>
      <c r="K654" s="170">
        <f t="shared" ref="K654" si="3388">I654-I653-J654+J653</f>
        <v>410.5899999999674</v>
      </c>
      <c r="L654" s="168">
        <f t="shared" ref="L654" si="3389">K654/I653</f>
        <v>1.1117840826982996E-3</v>
      </c>
      <c r="M654" s="178">
        <f t="shared" ref="M654" si="3390">I654-J654</f>
        <v>69717.909999999974</v>
      </c>
      <c r="N654" s="180">
        <f t="shared" ref="N654" si="3391">M654/J654</f>
        <v>0.23239303333333325</v>
      </c>
      <c r="O654" s="179">
        <f t="shared" ref="O654" si="3392">N654/(A654/365.25)</f>
        <v>8.3958017235410451E-2</v>
      </c>
      <c r="P654" s="178" t="b">
        <f t="shared" ref="P654" si="3393">L654&gt;D654</f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ref="S654" si="3394">I654-R654</f>
        <v>62735.909999999974</v>
      </c>
      <c r="T654" s="170">
        <v>-33834</v>
      </c>
      <c r="U654" s="170">
        <f t="shared" ref="U654" si="3395">M654-T654</f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ref="X654" si="3396">E654/(A654/365.25)/V654</f>
        <v>0.75675947832872026</v>
      </c>
      <c r="Y654" s="171">
        <f t="shared" ref="Y654" si="3397">O654/W654</f>
        <v>0.30618936830962717</v>
      </c>
      <c r="Z654" s="784">
        <f t="shared" ref="Z654" si="3398">-(E654-N654)</f>
        <v>-6.5032814728918281E-2</v>
      </c>
    </row>
    <row r="655" spans="1:26" ht="20.100000000000001" customHeight="1" x14ac:dyDescent="0.25">
      <c r="A655" s="160">
        <f t="shared" ref="A655" si="3399">B655-$B$2</f>
        <v>1012</v>
      </c>
      <c r="B655" s="169">
        <v>43245</v>
      </c>
      <c r="C655" s="211">
        <v>2721.33</v>
      </c>
      <c r="D655" s="168">
        <f t="shared" ref="D655" si="3400">(C655-C654)/C654</f>
        <v>-2.3572455054697958E-3</v>
      </c>
      <c r="E655" s="205">
        <f t="shared" ref="E655" si="3401">(C655-$C$2)/$C$2</f>
        <v>0.29436749681322649</v>
      </c>
      <c r="F655" s="215">
        <v>7433.85</v>
      </c>
      <c r="G655" s="168">
        <f t="shared" ref="G655" si="3402">(F655-F654)/F654</f>
        <v>1.2701328858012197E-3</v>
      </c>
      <c r="H655" s="199">
        <f t="shared" ref="H655" si="3403">(F655-F$2)/F$2</f>
        <v>0.45999371526209332</v>
      </c>
      <c r="I655" s="822">
        <v>370226.78</v>
      </c>
      <c r="J655" s="170">
        <v>300000</v>
      </c>
      <c r="K655" s="170">
        <f t="shared" ref="K655" si="3404">I655-I654-J655+J654</f>
        <v>508.87000000005355</v>
      </c>
      <c r="L655" s="168">
        <f t="shared" ref="L655" si="3405">K655/I654</f>
        <v>1.3763736790572401E-3</v>
      </c>
      <c r="M655" s="178">
        <f t="shared" ref="M655" si="3406">I655-J655</f>
        <v>70226.780000000028</v>
      </c>
      <c r="N655" s="180">
        <f t="shared" ref="N655" si="3407">M655/J655</f>
        <v>0.23408926666666677</v>
      </c>
      <c r="O655" s="179">
        <f t="shared" ref="O655" si="3408">N655/(A655/365.25)</f>
        <v>8.448725755928857E-2</v>
      </c>
      <c r="P655" s="178" t="b">
        <f t="shared" ref="P655" si="3409">L655&gt;D655</f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ref="S655" si="3410">I655-R655</f>
        <v>45347.460000000021</v>
      </c>
      <c r="T655" s="170">
        <v>-33723</v>
      </c>
      <c r="U655" s="170">
        <f t="shared" ref="U655" si="3411">M655-T655</f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ref="X655" si="3412">E655/(A655/365.25)/V655</f>
        <v>0.74875615636297466</v>
      </c>
      <c r="Y655" s="171">
        <f t="shared" ref="Y655" si="3413">O655/W655</f>
        <v>0.3083555322940939</v>
      </c>
      <c r="Z655" s="784">
        <f t="shared" ref="Z655" si="3414">-(E655-N655)</f>
        <v>-6.0278230146559725E-2</v>
      </c>
    </row>
    <row r="656" spans="1:26" ht="20.100000000000001" customHeight="1" x14ac:dyDescent="0.25">
      <c r="A656" s="160">
        <f t="shared" ref="A656" si="3415">B656-$B$2</f>
        <v>1015</v>
      </c>
      <c r="B656" s="169">
        <v>43248</v>
      </c>
      <c r="C656" s="211">
        <v>2689.86</v>
      </c>
      <c r="D656" s="168">
        <f t="shared" ref="D656" si="3416">(C656-C655)/C655</f>
        <v>-1.1564198388288007E-2</v>
      </c>
      <c r="E656" s="205">
        <f t="shared" ref="E656" si="3417">(C656-$C$2)/$C$2</f>
        <v>0.27939917429272659</v>
      </c>
      <c r="F656" s="215">
        <v>7396.59</v>
      </c>
      <c r="G656" s="168">
        <f t="shared" ref="G656" si="3418">(F656-F655)/F655</f>
        <v>-5.0122076716641066E-3</v>
      </c>
      <c r="H656" s="199">
        <f t="shared" ref="H656" si="3419">(F656-F$2)/F$2</f>
        <v>0.4526759235618753</v>
      </c>
      <c r="I656" s="822">
        <v>367527</v>
      </c>
      <c r="J656" s="170">
        <v>300000</v>
      </c>
      <c r="K656" s="170">
        <f t="shared" ref="K656" si="3420">I656-I655-J656+J655</f>
        <v>-2699.7800000000279</v>
      </c>
      <c r="L656" s="168">
        <f t="shared" ref="L656" si="3421">K656/I655</f>
        <v>-7.292233155040885E-3</v>
      </c>
      <c r="M656" s="178">
        <f t="shared" ref="M656" si="3422">I656-J656</f>
        <v>67527</v>
      </c>
      <c r="N656" s="180">
        <f t="shared" ref="N656" si="3423">M656/J656</f>
        <v>0.22509000000000001</v>
      </c>
      <c r="O656" s="179">
        <f t="shared" ref="O656" si="3424">N656/(A656/365.25)</f>
        <v>8.0999135467980307E-2</v>
      </c>
      <c r="P656" s="178" t="b">
        <f t="shared" ref="P656" si="3425">L656&gt;D656</f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ref="S656" si="3426">I656-R656</f>
        <v>33390.219999999972</v>
      </c>
      <c r="T656" s="170">
        <v>-33965</v>
      </c>
      <c r="U656" s="170">
        <f t="shared" ref="U656" si="3427">M656-T656</f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ref="X656" si="3428">E656/(A656/365.25)/V656</f>
        <v>0.70814871028331094</v>
      </c>
      <c r="Y656" s="171">
        <f t="shared" ref="Y656" si="3429">O656/W656</f>
        <v>0.29580430787787965</v>
      </c>
      <c r="Z656" s="784">
        <f t="shared" ref="Z656" si="3430">-(E656-N656)</f>
        <v>-5.4309174292726581E-2</v>
      </c>
    </row>
    <row r="657" spans="1:26" ht="20.100000000000001" customHeight="1" x14ac:dyDescent="0.25">
      <c r="A657" s="160">
        <f t="shared" ref="A657" si="3431">B657-$B$2</f>
        <v>1016</v>
      </c>
      <c r="B657" s="169">
        <v>43249</v>
      </c>
      <c r="C657" s="211">
        <v>2724.01</v>
      </c>
      <c r="D657" s="168">
        <f t="shared" ref="D657" si="3432">(C657-C656)/C656</f>
        <v>1.2695828035659882E-2</v>
      </c>
      <c r="E657" s="205">
        <f t="shared" ref="E657" si="3433">(C657-$C$2)/$C$2</f>
        <v>0.29564220619851228</v>
      </c>
      <c r="F657" s="215">
        <v>7462.45</v>
      </c>
      <c r="G657" s="168">
        <f t="shared" ref="G657" si="3434">(F657-F656)/F656</f>
        <v>8.9041031069722228E-3</v>
      </c>
      <c r="H657" s="199">
        <f t="shared" ref="H657" si="3435">(F657-F$2)/F$2</f>
        <v>0.46561069976628633</v>
      </c>
      <c r="I657" s="822">
        <v>372747.09</v>
      </c>
      <c r="J657" s="170">
        <v>300000</v>
      </c>
      <c r="K657" s="170">
        <f t="shared" ref="K657" si="3436">I657-I656-J657+J656</f>
        <v>5220.0900000000256</v>
      </c>
      <c r="L657" s="168">
        <f t="shared" ref="L657" si="3437">K657/I656</f>
        <v>1.420328302410442E-2</v>
      </c>
      <c r="M657" s="178">
        <f t="shared" ref="M657" si="3438">I657-J657</f>
        <v>72747.090000000026</v>
      </c>
      <c r="N657" s="180">
        <f t="shared" ref="N657" si="3439">M657/J657</f>
        <v>0.24249030000000008</v>
      </c>
      <c r="O657" s="179">
        <f t="shared" ref="O657" si="3440">N657/(A657/365.25)</f>
        <v>8.7174785506889799E-2</v>
      </c>
      <c r="P657" s="178" t="b">
        <f t="shared" ref="P657" si="3441">L657&gt;D657</f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ref="S657" si="3442">I657-R657</f>
        <v>39789.100000000035</v>
      </c>
      <c r="T657" s="170">
        <v>-33334</v>
      </c>
      <c r="U657" s="170">
        <f t="shared" ref="U657" si="3443">M657-T657</f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ref="X657" si="3444">E657/(A657/365.25)/V657</f>
        <v>0.74807556410732035</v>
      </c>
      <c r="Y657" s="171">
        <f t="shared" ref="Y657" si="3445">O657/W657</f>
        <v>0.31844907547564094</v>
      </c>
      <c r="Z657" s="784">
        <f t="shared" ref="Z657" si="3446">-(E657-N657)</f>
        <v>-5.3151906198512205E-2</v>
      </c>
    </row>
    <row r="658" spans="1:26" ht="20.100000000000001" customHeight="1" x14ac:dyDescent="0.25">
      <c r="A658" s="160">
        <f t="shared" ref="A658" si="3447">B658-$B$2</f>
        <v>1017</v>
      </c>
      <c r="B658" s="169">
        <v>43250</v>
      </c>
      <c r="C658" s="211">
        <v>2705.27</v>
      </c>
      <c r="D658" s="168">
        <f t="shared" ref="D658:D659" si="3448">(C658-C657)/C657</f>
        <v>-6.8795635845684249E-3</v>
      </c>
      <c r="E658" s="205">
        <f t="shared" ref="E658" si="3449">(C658-$C$2)/$C$2</f>
        <v>0.28672875325811908</v>
      </c>
      <c r="F658" s="215">
        <v>7442.11</v>
      </c>
      <c r="G658" s="168">
        <f t="shared" ref="G658:G659" si="3450">(F658-F657)/F657</f>
        <v>-2.7256464029909943E-3</v>
      </c>
      <c r="H658" s="199">
        <f t="shared" ref="H658" si="3451">(F658-F$2)/F$2</f>
        <v>0.46161596323428322</v>
      </c>
      <c r="I658" s="838">
        <v>367531.04</v>
      </c>
      <c r="J658" s="170">
        <v>300000</v>
      </c>
      <c r="K658" s="170">
        <f t="shared" ref="K658" si="3452">I658-I657-J658+J657</f>
        <v>-5216.0500000000466</v>
      </c>
      <c r="L658" s="168">
        <f t="shared" ref="L658" si="3453">K658/I657</f>
        <v>-1.3993536475362011E-2</v>
      </c>
      <c r="M658" s="462">
        <f t="shared" ref="M658" si="3454">I658-J658</f>
        <v>67531.039999999979</v>
      </c>
      <c r="N658" s="180">
        <f t="shared" ref="N658" si="3455">M658/J658</f>
        <v>0.22510346666666659</v>
      </c>
      <c r="O658" s="179">
        <f t="shared" ref="O658" si="3456">N658/(A658/365.25)</f>
        <v>8.0844681612585997E-2</v>
      </c>
      <c r="P658" s="178" t="b">
        <f t="shared" ref="P658" si="3457">L658&gt;D658</f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ref="S658" si="3458">I658-R658</f>
        <v>32870.959999999963</v>
      </c>
      <c r="T658" s="170">
        <v>-34339</v>
      </c>
      <c r="U658" s="170">
        <f t="shared" ref="U658" si="3459">M658-T658</f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ref="X658" si="3460">E658/(A658/365.25)/V658</f>
        <v>0.72499239889895384</v>
      </c>
      <c r="Y658" s="171">
        <f t="shared" ref="Y658" si="3461">O658/W658</f>
        <v>0.29538967651932285</v>
      </c>
      <c r="Z658" s="784">
        <f t="shared" ref="Z658" si="3462">-(E658-N658)</f>
        <v>-6.1625286591452499E-2</v>
      </c>
    </row>
    <row r="659" spans="1:26" ht="20.100000000000001" customHeight="1" x14ac:dyDescent="0.25">
      <c r="A659" s="160">
        <f t="shared" ref="A659" si="3463">B659-$B$2</f>
        <v>1019</v>
      </c>
      <c r="B659" s="169">
        <v>43252</v>
      </c>
      <c r="C659" s="211">
        <v>2734.62</v>
      </c>
      <c r="D659" s="168">
        <f t="shared" si="3448"/>
        <v>1.0849194350286629E-2</v>
      </c>
      <c r="E659" s="205">
        <f t="shared" ref="E659" si="3464">(C659-$C$2)/$C$2</f>
        <v>0.30068872357831844</v>
      </c>
      <c r="F659" s="215">
        <v>7555.33</v>
      </c>
      <c r="G659" s="168">
        <f t="shared" si="3450"/>
        <v>1.5213427374763375E-2</v>
      </c>
      <c r="H659" s="199">
        <f t="shared" ref="H659" si="3465">(F659-F$2)/F$2</f>
        <v>0.48385215154074279</v>
      </c>
      <c r="I659" s="822">
        <v>369254.27</v>
      </c>
      <c r="J659" s="170">
        <v>300000</v>
      </c>
      <c r="K659" s="170">
        <f t="shared" ref="K659" si="3466">I659-I658-J659+J658</f>
        <v>1723.2300000000396</v>
      </c>
      <c r="L659" s="168">
        <f t="shared" ref="L659" si="3467">K659/I658</f>
        <v>4.6886652077061022E-3</v>
      </c>
      <c r="M659" s="178">
        <f t="shared" ref="M659" si="3468">I659-J659</f>
        <v>69254.270000000019</v>
      </c>
      <c r="N659" s="180">
        <f t="shared" ref="N659" si="3469">M659/J659</f>
        <v>0.23084756666666673</v>
      </c>
      <c r="O659" s="179">
        <f t="shared" ref="O659" si="3470">N659/(A659/365.25)</f>
        <v>8.2744920240431813E-2</v>
      </c>
      <c r="P659" s="178" t="b">
        <f t="shared" ref="P659" si="3471">L659&gt;D659</f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ref="S659:S660" si="3472">I659-R659</f>
        <v>37626.960000000021</v>
      </c>
      <c r="T659" s="170">
        <v>-34339</v>
      </c>
      <c r="U659" s="170">
        <f t="shared" ref="U659" si="3473">M659-T659</f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ref="X659" si="3474">E659/(A659/365.25)/V659</f>
        <v>0.75859243948823241</v>
      </c>
      <c r="Y659" s="171">
        <f t="shared" ref="Y659" si="3475">O659/W659</f>
        <v>0.30255028933084693</v>
      </c>
      <c r="Z659" s="784">
        <f t="shared" ref="Z659" si="3476">-(E659-N659)</f>
        <v>-6.9841156911651714E-2</v>
      </c>
    </row>
    <row r="660" spans="1:26" ht="20.100000000000001" customHeight="1" x14ac:dyDescent="0.25">
      <c r="A660" s="160">
        <f t="shared" ref="A660" si="3477">B660-$B$2</f>
        <v>1022</v>
      </c>
      <c r="B660" s="169">
        <v>43255</v>
      </c>
      <c r="C660" s="211">
        <v>2746.87</v>
      </c>
      <c r="D660" s="168">
        <f t="shared" ref="D660" si="3478">(C660-C659)/C659</f>
        <v>4.4795986279629347E-3</v>
      </c>
      <c r="E660" s="205">
        <f t="shared" ref="E660" si="3479">(C660-$C$2)/$C$2</f>
        <v>0.30651528699986674</v>
      </c>
      <c r="F660" s="215">
        <v>7606.46</v>
      </c>
      <c r="G660" s="168">
        <f t="shared" ref="G660" si="3480">(F660-F659)/F659</f>
        <v>6.7674079093831916E-3</v>
      </c>
      <c r="H660" s="199">
        <f t="shared" ref="H660" si="3481">(F660-F$2)/F$2</f>
        <v>0.49389398432743492</v>
      </c>
      <c r="I660" s="822">
        <v>371020.96</v>
      </c>
      <c r="J660" s="170">
        <v>300000</v>
      </c>
      <c r="K660" s="170">
        <f t="shared" ref="K660" si="3482">I660-I659-J660+J659</f>
        <v>1766.6900000000023</v>
      </c>
      <c r="L660" s="168">
        <f t="shared" ref="L660" si="3483">K660/I659</f>
        <v>4.7844808944254111E-3</v>
      </c>
      <c r="M660" s="178">
        <f t="shared" ref="M660" si="3484">I660-J660</f>
        <v>71020.960000000021</v>
      </c>
      <c r="N660" s="180">
        <f t="shared" ref="N660" si="3485">M660/J660</f>
        <v>0.23673653333333342</v>
      </c>
      <c r="O660" s="179">
        <f t="shared" ref="O660" si="3486">N660/(A660/365.25)</f>
        <v>8.460667201565561E-2</v>
      </c>
      <c r="P660" s="178" t="b">
        <f t="shared" ref="P660" si="3487">L660&gt;D660</f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472"/>
        <v>37627.550000000047</v>
      </c>
      <c r="T660" s="170">
        <v>-33454</v>
      </c>
      <c r="U660" s="170">
        <f t="shared" ref="U660" si="3488">M660-T660</f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ref="X660" si="3489">E660/(A660/365.25)/V660</f>
        <v>0.7714899047863113</v>
      </c>
      <c r="Y660" s="171">
        <f t="shared" ref="Y660" si="3490">O660/W660</f>
        <v>0.30957927780322791</v>
      </c>
      <c r="Z660" s="784">
        <f t="shared" ref="Z660" si="3491">-(E660-N660)</f>
        <v>-6.9778753666533327E-2</v>
      </c>
    </row>
    <row r="661" spans="1:26" ht="20.100000000000001" customHeight="1" x14ac:dyDescent="0.25">
      <c r="A661" s="160">
        <f t="shared" ref="A661" si="3492">B661-$B$2</f>
        <v>1023</v>
      </c>
      <c r="B661" s="169">
        <v>43256</v>
      </c>
      <c r="C661" s="211">
        <v>2748.8</v>
      </c>
      <c r="D661" s="168">
        <f t="shared" ref="D661:D667" si="3493">(C661-C660)/C660</f>
        <v>7.0261788872436309E-4</v>
      </c>
      <c r="E661" s="205">
        <f t="shared" ref="E661" si="3494">(C661-$C$2)/$C$2</f>
        <v>0.30743326801240467</v>
      </c>
      <c r="F661" s="215">
        <v>7637.86</v>
      </c>
      <c r="G661" s="168">
        <f t="shared" ref="G661" si="3495">(F661-F660)/F660</f>
        <v>4.1280700877937481E-3</v>
      </c>
      <c r="H661" s="199">
        <f t="shared" ref="H661" si="3496">(F661-F$2)/F$2</f>
        <v>0.50006088339847199</v>
      </c>
      <c r="I661" s="822">
        <v>370163.04</v>
      </c>
      <c r="J661" s="170">
        <v>300000</v>
      </c>
      <c r="K661" s="170">
        <f t="shared" ref="K661" si="3497">I661-I660-J661+J660</f>
        <v>-857.92000000004191</v>
      </c>
      <c r="L661" s="168">
        <f t="shared" ref="L661" si="3498">K661/I660</f>
        <v>-2.3123221933338805E-3</v>
      </c>
      <c r="M661" s="178">
        <f t="shared" ref="M661" si="3499">I661-J661</f>
        <v>70163.039999999979</v>
      </c>
      <c r="N661" s="180">
        <f t="shared" ref="N661" si="3500">M661/J661</f>
        <v>0.23387679999999994</v>
      </c>
      <c r="O661" s="179">
        <f t="shared" ref="O661" si="3501">N661/(A661/365.25)</f>
        <v>8.3502933724340159E-2</v>
      </c>
      <c r="P661" s="178" t="b">
        <f t="shared" ref="P661" si="3502">L661&gt;D661</f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ref="S661" si="3503">I661-R661</f>
        <v>40547.099999999977</v>
      </c>
      <c r="T661" s="170">
        <v>-33418</v>
      </c>
      <c r="U661" s="170">
        <f t="shared" ref="U661" si="3504">M661-T661</f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ref="X661" si="3505">E661/(A661/365.25)/V661</f>
        <v>0.77363164003842477</v>
      </c>
      <c r="Y661" s="171">
        <f t="shared" ref="Y661" si="3506">O661/W661</f>
        <v>0.30576652642177288</v>
      </c>
      <c r="Z661" s="784">
        <f t="shared" ref="Z661" si="3507">-(E661-N661)</f>
        <v>-7.355646801240473E-2</v>
      </c>
    </row>
    <row r="662" spans="1:26" ht="20.100000000000001" customHeight="1" x14ac:dyDescent="0.25">
      <c r="A662" s="160">
        <f t="shared" ref="A662" si="3508">B662-$B$2</f>
        <v>1024</v>
      </c>
      <c r="B662" s="169">
        <v>43257</v>
      </c>
      <c r="C662" s="211">
        <v>2772.35</v>
      </c>
      <c r="D662" s="168">
        <f t="shared" si="3493"/>
        <v>8.5673748544818559E-3</v>
      </c>
      <c r="E662" s="205">
        <f t="shared" ref="E662" si="3509">(C662-$C$2)/$C$2</f>
        <v>0.31863453891668719</v>
      </c>
      <c r="F662" s="215">
        <v>7689.24</v>
      </c>
      <c r="G662" s="168">
        <f t="shared" ref="G662" si="3510">(F662-F661)/F661</f>
        <v>6.7270151586962985E-3</v>
      </c>
      <c r="H662" s="199">
        <f t="shared" ref="H662" si="3511">(F662-F$2)/F$2</f>
        <v>0.51015181570006085</v>
      </c>
      <c r="I662" s="822">
        <v>374822.41</v>
      </c>
      <c r="J662" s="170">
        <v>300000</v>
      </c>
      <c r="K662" s="170">
        <f t="shared" ref="K662" si="3512">I662-I661-J662+J661</f>
        <v>4659.3699999999953</v>
      </c>
      <c r="L662" s="168">
        <f t="shared" ref="L662" si="3513">K662/I661</f>
        <v>1.2587345295197477E-2</v>
      </c>
      <c r="M662" s="178">
        <f t="shared" ref="M662" si="3514">I662-J662</f>
        <v>74822.409999999974</v>
      </c>
      <c r="N662" s="180">
        <f t="shared" ref="N662" si="3515">M662/J662</f>
        <v>0.24940803333333325</v>
      </c>
      <c r="O662" s="179">
        <f t="shared" ref="O662" si="3516">N662/(A662/365.25)</f>
        <v>8.8961215014648404E-2</v>
      </c>
      <c r="P662" s="178" t="b">
        <f t="shared" ref="P662" si="3517">L662&gt;D662</f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ref="S662" si="3518">I662-R662</f>
        <v>48953.02999999997</v>
      </c>
      <c r="T662" s="170">
        <v>-33319</v>
      </c>
      <c r="U662" s="170">
        <f t="shared" ref="U662:U664" si="3519">M662-T662</f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ref="X662" si="3520">E662/(A662/365.25)/V662</f>
        <v>0.80114256841576503</v>
      </c>
      <c r="Y662" s="171">
        <f t="shared" ref="Y662" si="3521">O662/W662</f>
        <v>0.32588032498540725</v>
      </c>
      <c r="Z662" s="784">
        <f t="shared" ref="Z662" si="3522">-(E662-N662)</f>
        <v>-6.9226505583353942E-2</v>
      </c>
    </row>
    <row r="663" spans="1:26" ht="20.100000000000001" customHeight="1" x14ac:dyDescent="0.25">
      <c r="A663" s="160">
        <f t="shared" ref="A663" si="3523">B663-$B$2</f>
        <v>1025</v>
      </c>
      <c r="B663" s="169">
        <v>43258</v>
      </c>
      <c r="C663" s="211">
        <v>2770.37</v>
      </c>
      <c r="D663" s="168">
        <f t="shared" si="3493"/>
        <v>-7.1419553808141768E-4</v>
      </c>
      <c r="E663" s="205">
        <f t="shared" ref="E663" si="3524">(C663-$C$2)/$C$2</f>
        <v>0.31769277601263285</v>
      </c>
      <c r="F663" s="215">
        <v>7635.07</v>
      </c>
      <c r="G663" s="168">
        <f t="shared" ref="G663" si="3525">(F663-F662)/F662</f>
        <v>-7.0449095099125629E-3</v>
      </c>
      <c r="H663" s="199">
        <f t="shared" ref="H663" si="3526">(F663-F$2)/F$2</f>
        <v>0.49951293281222381</v>
      </c>
      <c r="I663" s="822">
        <v>377198.67</v>
      </c>
      <c r="J663" s="170">
        <v>300000</v>
      </c>
      <c r="K663" s="170">
        <f t="shared" ref="K663" si="3527">I663-I662-J663+J662</f>
        <v>2376.2600000000093</v>
      </c>
      <c r="L663" s="168">
        <f t="shared" ref="L663" si="3528">K663/I662</f>
        <v>6.3396956441318687E-3</v>
      </c>
      <c r="M663" s="178">
        <f t="shared" ref="M663" si="3529">I663-J663</f>
        <v>77198.669999999984</v>
      </c>
      <c r="N663" s="180">
        <f t="shared" ref="N663" si="3530">M663/J663</f>
        <v>0.25732889999999997</v>
      </c>
      <c r="O663" s="179">
        <f t="shared" ref="O663" si="3531">N663/(A663/365.25)</f>
        <v>9.1696956804878035E-2</v>
      </c>
      <c r="P663" s="178" t="b">
        <f t="shared" ref="P663" si="3532">L663&gt;D663</f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ref="S663" si="3533">I663-R663</f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ref="X663" si="3534">E663/(A663/365.25)/V663</f>
        <v>0.79859020450645668</v>
      </c>
      <c r="Y663" s="171">
        <f t="shared" ref="Y663" si="3535">O663/W663</f>
        <v>0.3361281722895389</v>
      </c>
      <c r="Z663" s="784">
        <f t="shared" ref="Z663" si="3536">-(E663-N663)</f>
        <v>-6.0363876012632878E-2</v>
      </c>
    </row>
    <row r="664" spans="1:26" ht="20.100000000000001" customHeight="1" x14ac:dyDescent="0.25">
      <c r="A664" s="160">
        <f t="shared" ref="A664" si="3537">B664-$B$2</f>
        <v>1026</v>
      </c>
      <c r="B664" s="169">
        <v>43259</v>
      </c>
      <c r="C664" s="211">
        <v>2779.03</v>
      </c>
      <c r="D664" s="168">
        <f t="shared" si="3493"/>
        <v>3.1259362467830325E-3</v>
      </c>
      <c r="E664" s="205">
        <f t="shared" ref="E664" si="3538">(C664-$C$2)/$C$2</f>
        <v>0.32181179962329493</v>
      </c>
      <c r="F664" s="215">
        <v>7645.51</v>
      </c>
      <c r="G664" s="168">
        <f t="shared" ref="G664" si="3539">(F664-F663)/F663</f>
        <v>1.3673744968940049E-3</v>
      </c>
      <c r="H664" s="199">
        <f t="shared" ref="H664" si="3540">(F664-F$2)/F$2</f>
        <v>0.50156332855431396</v>
      </c>
      <c r="I664" s="822">
        <v>379330.1</v>
      </c>
      <c r="J664" s="170">
        <v>300000</v>
      </c>
      <c r="K664" s="170">
        <f t="shared" ref="K664" si="3541">I664-I663-J664+J663</f>
        <v>2131.429999999993</v>
      </c>
      <c r="L664" s="168">
        <f t="shared" ref="L664" si="3542">K664/I663</f>
        <v>5.6506827025662445E-3</v>
      </c>
      <c r="M664" s="178">
        <f t="shared" ref="M664" si="3543">I664-J664</f>
        <v>79330.099999999977</v>
      </c>
      <c r="N664" s="180">
        <f t="shared" ref="N664" si="3544">M664/J664</f>
        <v>0.26443366666666657</v>
      </c>
      <c r="O664" s="179">
        <f t="shared" ref="O664" si="3545">N664/(A664/365.25)</f>
        <v>9.41368389376218E-2</v>
      </c>
      <c r="P664" s="178" t="b">
        <f t="shared" ref="P664" si="3546">L664&gt;D664</f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ref="S664" si="3547">I664-R664</f>
        <v>72014.859999999986</v>
      </c>
      <c r="T664" s="170">
        <v>-33130</v>
      </c>
      <c r="U664" s="170">
        <f t="shared" si="3519"/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ref="X664" si="3548">E664/(A664/365.25)/V664</f>
        <v>0.80871320264291569</v>
      </c>
      <c r="Y664" s="171">
        <f t="shared" ref="Y664:Y669" si="3549">O664/W664</f>
        <v>0.3453107026752707</v>
      </c>
      <c r="Z664" s="784">
        <f t="shared" ref="Z664" si="3550">-(E664-N664)</f>
        <v>-5.7378132956628358E-2</v>
      </c>
    </row>
    <row r="665" spans="1:26" ht="20.100000000000001" customHeight="1" x14ac:dyDescent="0.25">
      <c r="A665" s="160">
        <f t="shared" ref="A665" si="3551">B665-$B$2</f>
        <v>1029</v>
      </c>
      <c r="B665" s="169">
        <v>43262</v>
      </c>
      <c r="C665" s="211">
        <v>2782</v>
      </c>
      <c r="D665" s="168">
        <f t="shared" si="3493"/>
        <v>1.0687182218255291E-3</v>
      </c>
      <c r="E665" s="205">
        <f t="shared" ref="E665" si="3552">(C665-$C$2)/$C$2</f>
        <v>0.32322444397937633</v>
      </c>
      <c r="F665" s="215">
        <v>7659.92</v>
      </c>
      <c r="G665" s="168">
        <f t="shared" ref="G665" si="3553">(F665-F664)/F664</f>
        <v>1.8847663530621049E-3</v>
      </c>
      <c r="H665" s="199">
        <f t="shared" ref="H665" si="3554">(F665-F$2)/F$2</f>
        <v>0.5043934245929651</v>
      </c>
      <c r="I665" s="822">
        <v>382027.21</v>
      </c>
      <c r="J665" s="170">
        <v>300000</v>
      </c>
      <c r="K665" s="170">
        <f t="shared" ref="K665" si="3555">I665-I664-J665+J664</f>
        <v>2697.1100000000442</v>
      </c>
      <c r="L665" s="168">
        <f t="shared" ref="L665" si="3556">K665/I664</f>
        <v>7.1101924155242214E-3</v>
      </c>
      <c r="M665" s="178">
        <f t="shared" ref="M665" si="3557">I665-J665</f>
        <v>82027.210000000021</v>
      </c>
      <c r="N665" s="180">
        <f t="shared" ref="N665" si="3558">M665/J665</f>
        <v>0.27342403333333343</v>
      </c>
      <c r="O665" s="179">
        <f t="shared" ref="O665" si="3559">N665/(A665/365.25)</f>
        <v>9.7053574514091398E-2</v>
      </c>
      <c r="P665" s="178" t="b">
        <f t="shared" ref="P665" si="3560">L665&gt;D665</f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ref="S665" si="3561">I665-R665</f>
        <v>81541.25</v>
      </c>
      <c r="T665" s="170">
        <v>-32866</v>
      </c>
      <c r="U665" s="170">
        <f t="shared" ref="U665" si="3562">M665-T665</f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ref="X665" si="3563">E665/(A665/365.25)/V665</f>
        <v>0.81050462534007905</v>
      </c>
      <c r="Y665" s="171">
        <f t="shared" si="3549"/>
        <v>0.35624048064714403</v>
      </c>
      <c r="Z665" s="784">
        <f t="shared" ref="Z665" si="3564">-(E665-N665)</f>
        <v>-4.9800410646042903E-2</v>
      </c>
    </row>
    <row r="666" spans="1:26" ht="20.100000000000001" customHeight="1" x14ac:dyDescent="0.25">
      <c r="A666" s="160">
        <f>B666-$B$2</f>
        <v>1030</v>
      </c>
      <c r="B666" s="169">
        <v>43263</v>
      </c>
      <c r="C666" s="211">
        <v>2786.85</v>
      </c>
      <c r="D666" s="168">
        <f t="shared" si="3493"/>
        <v>1.7433501078360566E-3</v>
      </c>
      <c r="E666" s="205">
        <f t="shared" ref="E666" si="3565">(C666-$C$2)/$C$2</f>
        <v>0.32553128745647908</v>
      </c>
      <c r="F666" s="215">
        <v>7703.79</v>
      </c>
      <c r="G666" s="168">
        <f t="shared" ref="G666" si="3566">(F666-F665)/F665</f>
        <v>5.7272138612413561E-3</v>
      </c>
      <c r="H666" s="199">
        <f t="shared" ref="H666" si="3567">(F666-F$2)/F$2</f>
        <v>0.51300940746705426</v>
      </c>
      <c r="I666" s="822">
        <v>383351.38</v>
      </c>
      <c r="J666" s="170">
        <v>300000</v>
      </c>
      <c r="K666" s="170">
        <f t="shared" ref="K666" si="3568">I666-I665-J666+J665</f>
        <v>1324.1699999999837</v>
      </c>
      <c r="L666" s="168">
        <f t="shared" ref="L666" si="3569">K666/I665</f>
        <v>3.4661667162398813E-3</v>
      </c>
      <c r="M666" s="178">
        <f t="shared" ref="M666" si="3570">I666-J666</f>
        <v>83351.38</v>
      </c>
      <c r="N666" s="180">
        <f t="shared" ref="N666" si="3571">M666/J666</f>
        <v>0.27783793333333334</v>
      </c>
      <c r="O666" s="179">
        <f t="shared" ref="O666" si="3572">N666/(A666/365.25)</f>
        <v>9.8524568106796107E-2</v>
      </c>
      <c r="P666" s="178" t="b">
        <f t="shared" ref="P666" si="3573">L666&gt;D666</f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ref="S666" si="3574">I666-R666</f>
        <v>85111.19</v>
      </c>
      <c r="T666" s="170">
        <v>-32722</v>
      </c>
      <c r="U666" s="170">
        <f t="shared" ref="U666" si="3575">M666-T666</f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ref="X666" si="3576">E666/(A666/365.25)/V666</f>
        <v>0.81609965746088553</v>
      </c>
      <c r="Y666" s="171">
        <f t="shared" si="3549"/>
        <v>0.36190538554584889</v>
      </c>
      <c r="Z666" s="784">
        <f t="shared" ref="Z666" si="3577">-(E666-N666)</f>
        <v>-4.7693354123145737E-2</v>
      </c>
    </row>
    <row r="667" spans="1:26" ht="20.100000000000001" customHeight="1" x14ac:dyDescent="0.25">
      <c r="A667" s="160">
        <f t="shared" ref="A667" si="3578">B667-$B$2</f>
        <v>1031</v>
      </c>
      <c r="B667" s="169">
        <v>43264</v>
      </c>
      <c r="C667" s="211">
        <v>2775.63</v>
      </c>
      <c r="D667" s="168">
        <f t="shared" si="3493"/>
        <v>-4.0260509177027113E-3</v>
      </c>
      <c r="E667" s="205">
        <f t="shared" ref="E667" si="3579">(C667-$C$2)/$C$2</f>
        <v>0.32019463100017126</v>
      </c>
      <c r="F667" s="215">
        <v>7695.69</v>
      </c>
      <c r="G667" s="168">
        <f t="shared" ref="G667" si="3580">(F667-F666)/F666</f>
        <v>-1.0514305296484411E-3</v>
      </c>
      <c r="H667" s="199">
        <f t="shared" ref="H667" si="3581">(F667-F$2)/F$2</f>
        <v>0.51141858318439815</v>
      </c>
      <c r="I667" s="822">
        <v>383566.49</v>
      </c>
      <c r="J667" s="170">
        <v>300000</v>
      </c>
      <c r="K667" s="170">
        <f t="shared" ref="K667" si="3582">I667-I666-J667+J666</f>
        <v>215.10999999998603</v>
      </c>
      <c r="L667" s="168">
        <f t="shared" ref="L667" si="3583">K667/I666</f>
        <v>5.6113010470964272E-4</v>
      </c>
      <c r="M667" s="178">
        <f t="shared" ref="M667" si="3584">I667-J667</f>
        <v>83566.489999999991</v>
      </c>
      <c r="N667" s="180">
        <f t="shared" ref="N667" si="3585">M667/J667</f>
        <v>0.27855496666666663</v>
      </c>
      <c r="O667" s="179">
        <f t="shared" ref="O667" si="3586">N667/(A667/365.25)</f>
        <v>9.8683027715809876E-2</v>
      </c>
      <c r="P667" s="178" t="b">
        <f t="shared" ref="P667" si="3587">L667&gt;D667</f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ref="S667" si="3588">I667-R667</f>
        <v>97920.02999999997</v>
      </c>
      <c r="T667" s="170">
        <v>-32818</v>
      </c>
      <c r="U667" s="170">
        <f t="shared" ref="U667" si="3589">M667-T667</f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ref="X667" si="3590">E667/(A667/365.25)/V667</f>
        <v>0.80239333109858757</v>
      </c>
      <c r="Y667" s="171">
        <f t="shared" si="3549"/>
        <v>0.3627607095203717</v>
      </c>
      <c r="Z667" s="784">
        <f t="shared" ref="Z667" si="3591">-(E667-N667)</f>
        <v>-4.1639664333504633E-2</v>
      </c>
    </row>
    <row r="668" spans="1:26" ht="20.100000000000001" customHeight="1" x14ac:dyDescent="0.25">
      <c r="A668" s="160">
        <f t="shared" ref="A668" si="3592">B668-$B$2</f>
        <v>1032</v>
      </c>
      <c r="B668" s="169">
        <v>43265</v>
      </c>
      <c r="C668" s="211">
        <v>2782.49</v>
      </c>
      <c r="D668" s="168">
        <f t="shared" ref="D668" si="3593">(C668-C667)/C667</f>
        <v>2.4715109722836517E-3</v>
      </c>
      <c r="E668" s="205">
        <f t="shared" ref="E668" si="3594">(C668-$C$2)/$C$2</f>
        <v>0.32345750651623811</v>
      </c>
      <c r="F668" s="215">
        <v>7761.04</v>
      </c>
      <c r="G668" s="168">
        <f t="shared" ref="G668" si="3595">(F668-F667)/F667</f>
        <v>8.4917661704149161E-3</v>
      </c>
      <c r="H668" s="199">
        <f t="shared" ref="H668" si="3596">(F668-F$2)/F$2</f>
        <v>0.52425319637841983</v>
      </c>
      <c r="I668" s="822">
        <v>383755.49</v>
      </c>
      <c r="J668" s="170">
        <v>300000</v>
      </c>
      <c r="K668" s="170">
        <f t="shared" ref="K668" si="3597">I668-I667-J668+J667</f>
        <v>189</v>
      </c>
      <c r="L668" s="168">
        <f t="shared" ref="L668" si="3598">K668/I667</f>
        <v>4.9274377435839091E-4</v>
      </c>
      <c r="M668" s="178">
        <f t="shared" ref="M668" si="3599">I668-J668</f>
        <v>83755.489999999991</v>
      </c>
      <c r="N668" s="180">
        <f t="shared" ref="N668" si="3600">M668/J668</f>
        <v>0.27918496666666665</v>
      </c>
      <c r="O668" s="179">
        <f t="shared" ref="O668" si="3601">N668/(A668/365.25)</f>
        <v>9.8810377010658909E-2</v>
      </c>
      <c r="P668" s="178" t="b">
        <f t="shared" ref="P668" si="3602">L668&gt;D668</f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ref="S668" si="3603">I668-R668</f>
        <v>106245.93</v>
      </c>
      <c r="T668" s="170">
        <v>-32800</v>
      </c>
      <c r="U668" s="170">
        <f t="shared" ref="U668" si="3604">M668-T668</f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ref="X668" si="3605">E668/(A668/365.25)/V668</f>
        <v>0.81036289725284272</v>
      </c>
      <c r="Y668" s="171">
        <f t="shared" si="3549"/>
        <v>0.36350224424424604</v>
      </c>
      <c r="Z668" s="784">
        <f t="shared" ref="Z668" si="3606">-(E668-N668)</f>
        <v>-4.4272539849571468E-2</v>
      </c>
    </row>
    <row r="669" spans="1:26" ht="20.100000000000001" customHeight="1" x14ac:dyDescent="0.25">
      <c r="A669" s="160">
        <f t="shared" ref="A669" si="3607">B669-$B$2</f>
        <v>1033</v>
      </c>
      <c r="B669" s="169">
        <v>43266</v>
      </c>
      <c r="C669" s="211">
        <v>2779.66</v>
      </c>
      <c r="D669" s="168">
        <f t="shared" ref="D669" si="3608">(C669-C668)/C668</f>
        <v>-1.0170746345898557E-3</v>
      </c>
      <c r="E669" s="205">
        <f t="shared" ref="E669" si="3609">(C669-$C$2)/$C$2</f>
        <v>0.32211145145640291</v>
      </c>
      <c r="F669" s="215">
        <v>7746.37</v>
      </c>
      <c r="G669" s="168">
        <f t="shared" ref="G669" si="3610">(F669-F668)/F668</f>
        <v>-1.8902105903332636E-3</v>
      </c>
      <c r="H669" s="199">
        <f t="shared" ref="H669" si="3611">(F669-F$2)/F$2</f>
        <v>0.52137203684427602</v>
      </c>
      <c r="I669" s="822">
        <v>382086.2</v>
      </c>
      <c r="J669" s="170">
        <v>300000</v>
      </c>
      <c r="K669" s="170">
        <f t="shared" ref="K669" si="3612">I669-I668-J669+J668</f>
        <v>-1669.289999999979</v>
      </c>
      <c r="L669" s="168">
        <f t="shared" ref="L669" si="3613">K669/I668</f>
        <v>-4.3498791378853733E-3</v>
      </c>
      <c r="M669" s="178">
        <f t="shared" ref="M669" si="3614">I669-J669</f>
        <v>82086.200000000012</v>
      </c>
      <c r="N669" s="180">
        <f t="shared" ref="N669" si="3615">M669/J669</f>
        <v>0.27362066666666668</v>
      </c>
      <c r="O669" s="179">
        <f t="shared" ref="O669" si="3616">N669/(A669/365.25)</f>
        <v>9.6747287996127779E-2</v>
      </c>
      <c r="P669" s="178" t="b">
        <f t="shared" ref="P669" si="3617">L669&gt;D669</f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ref="S669" si="3618">I669-R669</f>
        <v>83263.290000000037</v>
      </c>
      <c r="T669" s="170">
        <v>-32770</v>
      </c>
      <c r="U669" s="170">
        <f t="shared" ref="U669" si="3619">M669-T669</f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ref="X669" si="3620">E669/(A669/365.25)/V669</f>
        <v>0.80679864333878126</v>
      </c>
      <c r="Y669" s="171">
        <f t="shared" si="3549"/>
        <v>0.35615750813758806</v>
      </c>
      <c r="Z669" s="784">
        <f t="shared" ref="Z669" si="3621">-(E669-N669)</f>
        <v>-4.849078478973623E-2</v>
      </c>
    </row>
    <row r="670" spans="1:26" ht="20.100000000000001" customHeight="1" x14ac:dyDescent="0.25">
      <c r="A670" s="160">
        <f t="shared" ref="A670" si="3622">B670-$B$2</f>
        <v>1036</v>
      </c>
      <c r="B670" s="169">
        <v>43269</v>
      </c>
      <c r="C670" s="211">
        <v>2773.75</v>
      </c>
      <c r="D670" s="168">
        <f t="shared" ref="D670" si="3623">(C670-C669)/C669</f>
        <v>-2.1261593144484775E-3</v>
      </c>
      <c r="E670" s="205">
        <f t="shared" ref="E670" si="3624">(C670-$C$2)/$C$2</f>
        <v>0.31930043187914992</v>
      </c>
      <c r="F670" s="215">
        <v>7747.02</v>
      </c>
      <c r="G670" s="168">
        <f t="shared" ref="G670" si="3625">(F670-F669)/F669</f>
        <v>8.3910270229868404E-5</v>
      </c>
      <c r="H670" s="199">
        <f t="shared" ref="H670" si="3626">(F670-F$2)/F$2</f>
        <v>0.52149969558300779</v>
      </c>
      <c r="I670" s="822">
        <v>381438.85</v>
      </c>
      <c r="J670" s="170">
        <v>300000</v>
      </c>
      <c r="K670" s="170">
        <f t="shared" ref="K670" si="3627">I670-I669-J670+J669</f>
        <v>-647.35000000003492</v>
      </c>
      <c r="L670" s="168">
        <f t="shared" ref="L670" si="3628">K670/I669</f>
        <v>-1.6942511925320384E-3</v>
      </c>
      <c r="M670" s="178">
        <f t="shared" ref="M670" si="3629">I670-J670</f>
        <v>81438.849999999977</v>
      </c>
      <c r="N670" s="180">
        <f t="shared" ref="N670" si="3630">M670/J670</f>
        <v>0.27146283333333326</v>
      </c>
      <c r="O670" s="179">
        <f t="shared" ref="O670" si="3631">N670/(A670/365.25)</f>
        <v>9.5706370535714264E-2</v>
      </c>
      <c r="P670" s="178" t="b">
        <f t="shared" ref="P670" si="3632">L670&gt;D670</f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ref="S670" si="3633">I670-R670</f>
        <v>94390.709999999963</v>
      </c>
      <c r="T670" s="170">
        <v>-33106</v>
      </c>
      <c r="U670" s="170">
        <f t="shared" ref="U670" si="3634">M670-T670</f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ref="X670" si="3635">E670/(A670/365.25)/V670</f>
        <v>0.79798986219092249</v>
      </c>
      <c r="Y670" s="171">
        <f t="shared" ref="Y670" si="3636">O670/W670</f>
        <v>0.35258514222842952</v>
      </c>
      <c r="Z670" s="784">
        <f t="shared" ref="Z670" si="3637">-(E670-N670)</f>
        <v>-4.7837598545816651E-2</v>
      </c>
    </row>
    <row r="671" spans="1:26" ht="20.100000000000001" customHeight="1" x14ac:dyDescent="0.25">
      <c r="A671" s="160">
        <f t="shared" ref="A671" si="3638">B671-$B$2</f>
        <v>1037</v>
      </c>
      <c r="B671" s="169">
        <v>43270</v>
      </c>
      <c r="C671" s="211">
        <v>2762.59</v>
      </c>
      <c r="D671" s="168">
        <f t="shared" ref="D671" si="3639">(C671-C670)/C670</f>
        <v>-4.023433979269889E-3</v>
      </c>
      <c r="E671" s="205">
        <f t="shared" ref="E671" si="3640">(C671-$C$2)/$C$2</f>
        <v>0.3139923136926619</v>
      </c>
      <c r="F671" s="215">
        <v>7725.58</v>
      </c>
      <c r="G671" s="168">
        <f t="shared" ref="G671" si="3641">(F671-F670)/F670</f>
        <v>-2.7675157673531896E-3</v>
      </c>
      <c r="H671" s="199">
        <f t="shared" ref="H671" si="3642">(F671-F$2)/F$2</f>
        <v>0.51728892118545877</v>
      </c>
      <c r="I671" s="822">
        <v>382081.51</v>
      </c>
      <c r="J671" s="170">
        <v>300000</v>
      </c>
      <c r="K671" s="170">
        <f t="shared" ref="K671" si="3643">I671-I670-J671+J670</f>
        <v>642.6600000000326</v>
      </c>
      <c r="L671" s="168">
        <f t="shared" ref="L671" si="3644">K671/I670</f>
        <v>1.6848310024006013E-3</v>
      </c>
      <c r="M671" s="178">
        <f t="shared" ref="M671" si="3645">I671-J671</f>
        <v>82081.510000000009</v>
      </c>
      <c r="N671" s="180">
        <f t="shared" ref="N671" si="3646">M671/J671</f>
        <v>0.27360503333333336</v>
      </c>
      <c r="O671" s="179">
        <f t="shared" ref="O671" si="3647">N671/(A671/365.25)</f>
        <v>9.636860021697205E-2</v>
      </c>
      <c r="P671" s="178" t="b">
        <f t="shared" ref="P671" si="3648">L671&gt;D671</f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ref="S671" si="3649">I671-R671</f>
        <v>88750.72000000003</v>
      </c>
      <c r="T671" s="170">
        <v>-32722</v>
      </c>
      <c r="U671" s="170">
        <f t="shared" ref="U671" si="3650">M671-T671</f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ref="X671" si="3651">E671/(A671/365.25)/V671</f>
        <v>0.78440558773622837</v>
      </c>
      <c r="Y671" s="171">
        <f t="shared" ref="Y671" si="3652">O671/W671</f>
        <v>0.35528981091461798</v>
      </c>
      <c r="Z671" s="784">
        <f t="shared" ref="Z671" si="3653">-(E671-N671)</f>
        <v>-4.0387280359328537E-2</v>
      </c>
    </row>
    <row r="672" spans="1:26" ht="20.100000000000001" customHeight="1" x14ac:dyDescent="0.25">
      <c r="A672" s="160">
        <f t="shared" ref="A672" si="3654">B672-$B$2</f>
        <v>1038</v>
      </c>
      <c r="B672" s="169">
        <v>43271</v>
      </c>
      <c r="C672" s="211">
        <v>2767.32</v>
      </c>
      <c r="D672" s="168">
        <f t="shared" ref="D672" si="3655">(C672-C671)/C671</f>
        <v>1.712161413745803E-3</v>
      </c>
      <c r="E672" s="205">
        <f t="shared" ref="E672" si="3656">(C672-$C$2)/$C$2</f>
        <v>0.31624208063012504</v>
      </c>
      <c r="F672" s="215">
        <v>7781.51</v>
      </c>
      <c r="G672" s="168">
        <f t="shared" ref="G672" si="3657">(F672-F671)/F671</f>
        <v>7.2395858951690732E-3</v>
      </c>
      <c r="H672" s="199">
        <f t="shared" ref="H672" si="3658">(F672-F$2)/F$2</f>
        <v>0.52827346465816927</v>
      </c>
      <c r="I672" s="822">
        <v>384754.19</v>
      </c>
      <c r="J672" s="170">
        <v>300000</v>
      </c>
      <c r="K672" s="170">
        <f t="shared" ref="K672" si="3659">I672-I671-J672+J671</f>
        <v>2672.679999999993</v>
      </c>
      <c r="L672" s="168">
        <f t="shared" ref="L672" si="3660">K672/I671</f>
        <v>6.9950519196806801E-3</v>
      </c>
      <c r="M672" s="178">
        <f t="shared" ref="M672" si="3661">I672-J672</f>
        <v>84754.19</v>
      </c>
      <c r="N672" s="180">
        <f t="shared" ref="N672" si="3662">M672/J672</f>
        <v>0.28251396666666667</v>
      </c>
      <c r="O672" s="179">
        <f t="shared" ref="O672" si="3663">N672/(A672/365.25)</f>
        <v>9.9410622663776496E-2</v>
      </c>
      <c r="P672" s="178" t="b">
        <f t="shared" ref="P672" si="3664">L672&gt;D672</f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ref="S672" si="3665">I672-R672</f>
        <v>111992.40999999997</v>
      </c>
      <c r="T672" s="170">
        <v>-32680</v>
      </c>
      <c r="U672" s="170">
        <f t="shared" ref="U672" si="3666">M672-T672</f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ref="X672" si="3667">E672/(A672/365.25)/V672</f>
        <v>0.78984336003195033</v>
      </c>
      <c r="Y672" s="171">
        <f t="shared" ref="Y672" si="3668">O672/W672</f>
        <v>0.36674110913288216</v>
      </c>
      <c r="Z672" s="784">
        <f t="shared" ref="Z672" si="3669">-(E672-N672)</f>
        <v>-3.3728113963458373E-2</v>
      </c>
    </row>
    <row r="673" spans="1:26" ht="20.100000000000001" customHeight="1" x14ac:dyDescent="0.25">
      <c r="A673" s="160">
        <f t="shared" ref="A673" si="3670">B673-$B$2</f>
        <v>1039</v>
      </c>
      <c r="B673" s="169">
        <v>43272</v>
      </c>
      <c r="C673" s="211">
        <v>2749.76</v>
      </c>
      <c r="D673" s="168">
        <f t="shared" ref="D673" si="3671">(C673-C672)/C672</f>
        <v>-6.3454894988653077E-3</v>
      </c>
      <c r="E673" s="205">
        <f t="shared" ref="E673" si="3672">(C673-$C$2)/$C$2</f>
        <v>0.30788988032952197</v>
      </c>
      <c r="F673" s="215">
        <v>7712.95</v>
      </c>
      <c r="G673" s="168">
        <f t="shared" ref="G673" si="3673">(F673-F672)/F672</f>
        <v>-8.8106292994547843E-3</v>
      </c>
      <c r="H673" s="199">
        <f t="shared" ref="H673" si="3674">(F673-F$2)/F$2</f>
        <v>0.51480841369287278</v>
      </c>
      <c r="I673" s="822">
        <v>386790.11</v>
      </c>
      <c r="J673" s="170">
        <v>300000</v>
      </c>
      <c r="K673" s="170">
        <f t="shared" ref="K673" si="3675">I673-I672-J673+J672</f>
        <v>2035.9199999999837</v>
      </c>
      <c r="L673" s="168">
        <f t="shared" ref="L673" si="3676">K673/I672</f>
        <v>5.2914823357738706E-3</v>
      </c>
      <c r="M673" s="178">
        <f t="shared" ref="M673" si="3677">I673-J673</f>
        <v>86790.109999999986</v>
      </c>
      <c r="N673" s="180">
        <f t="shared" ref="N673" si="3678">M673/J673</f>
        <v>0.28930036666666664</v>
      </c>
      <c r="O673" s="179">
        <f t="shared" ref="O673" si="3679">N673/(A673/365.25)</f>
        <v>0.10170063419153032</v>
      </c>
      <c r="P673" s="178" t="b">
        <f t="shared" ref="P673" si="3680">L673&gt;D673</f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ref="S673" si="3681">I673-R673</f>
        <v>113268.26999999996</v>
      </c>
      <c r="T673" s="170">
        <v>-31908</v>
      </c>
      <c r="U673" s="170">
        <f t="shared" ref="U673" si="3682">M673-T673</f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ref="X673" si="3683">E673/(A673/365.25)/V673</f>
        <v>0.76848071530722506</v>
      </c>
      <c r="Y673" s="171">
        <f t="shared" ref="Y673" si="3684">O673/W673</f>
        <v>0.37544870444555395</v>
      </c>
      <c r="Z673" s="784">
        <f t="shared" ref="Z673" si="3685">-(E673-N673)</f>
        <v>-1.8589513662855328E-2</v>
      </c>
    </row>
    <row r="674" spans="1:26" ht="20.100000000000001" customHeight="1" x14ac:dyDescent="0.25">
      <c r="A674" s="160">
        <f t="shared" ref="A674" si="3686">B674-$B$2</f>
        <v>1040</v>
      </c>
      <c r="B674" s="169">
        <v>43273</v>
      </c>
      <c r="C674" s="211">
        <v>2754.88</v>
      </c>
      <c r="D674" s="168">
        <f t="shared" ref="D674" si="3687">(C674-C673)/C673</f>
        <v>1.8619806819503849E-3</v>
      </c>
      <c r="E674" s="205">
        <f t="shared" ref="E674" si="3688">(C674-$C$2)/$C$2</f>
        <v>0.3103251460208139</v>
      </c>
      <c r="F674" s="215">
        <v>7692.81</v>
      </c>
      <c r="G674" s="168">
        <f t="shared" ref="G674" si="3689">(F674-F673)/F673</f>
        <v>-2.6111928639495157E-3</v>
      </c>
      <c r="H674" s="199">
        <f t="shared" ref="H674" si="3690">(F674-F$2)/F$2</f>
        <v>0.51085295677278719</v>
      </c>
      <c r="I674" s="822">
        <v>393809.39</v>
      </c>
      <c r="J674" s="170">
        <v>300000</v>
      </c>
      <c r="K674" s="170">
        <f t="shared" ref="K674" si="3691">I674-I673-J674+J673</f>
        <v>7019.2800000000279</v>
      </c>
      <c r="L674" s="168">
        <f t="shared" ref="L674" si="3692">K674/I673</f>
        <v>1.8147516750105189E-2</v>
      </c>
      <c r="M674" s="178">
        <f t="shared" ref="M674" si="3693">I674-J674</f>
        <v>93809.390000000014</v>
      </c>
      <c r="N674" s="180">
        <f t="shared" ref="N674" si="3694">M674/J674</f>
        <v>0.31269796666666672</v>
      </c>
      <c r="O674" s="179">
        <f t="shared" ref="O674" si="3695">N674/(A674/365.25)</f>
        <v>0.10982012723557695</v>
      </c>
      <c r="P674" s="178" t="b">
        <f t="shared" ref="P674" si="3696">L674&gt;D674</f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ref="S674" si="3697">I674-R674</f>
        <v>119430.79999999999</v>
      </c>
      <c r="T674" s="170">
        <v>-31374</v>
      </c>
      <c r="U674" s="170">
        <f t="shared" ref="U674" si="3698">M674-T674</f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ref="X674" si="3699">E674/(A674/365.25)/V674</f>
        <v>0.77437669557314881</v>
      </c>
      <c r="Y674" s="171">
        <f t="shared" ref="Y674" si="3700">O674/W674</f>
        <v>0.40540777367822317</v>
      </c>
      <c r="Z674" s="784">
        <f t="shared" ref="Z674" si="3701">-(E674-N674)</f>
        <v>2.3728206458528134E-3</v>
      </c>
    </row>
    <row r="675" spans="1:26" ht="20.100000000000001" customHeight="1" x14ac:dyDescent="0.25">
      <c r="A675" s="160">
        <f t="shared" ref="A675" si="3702">B675-$B$2</f>
        <v>1041</v>
      </c>
      <c r="B675" s="169">
        <v>43274</v>
      </c>
      <c r="C675" s="211">
        <v>2717.07</v>
      </c>
      <c r="D675" s="168">
        <f t="shared" ref="D675" si="3703">(C675-C674)/C674</f>
        <v>-1.3724735741665679E-2</v>
      </c>
      <c r="E675" s="205">
        <f t="shared" ref="E675" si="3704">(C675-$C$2)/$C$2</f>
        <v>0.29234127965601875</v>
      </c>
      <c r="F675" s="215">
        <v>7532</v>
      </c>
      <c r="G675" s="168">
        <f t="shared" ref="G675" si="3705">(F675-F674)/F674</f>
        <v>-2.0903934973046313E-2</v>
      </c>
      <c r="H675" s="199">
        <f t="shared" ref="H675" si="3706">(F675-F$2)/F$2</f>
        <v>0.47927018481057415</v>
      </c>
      <c r="I675" s="822">
        <v>389217.82</v>
      </c>
      <c r="J675" s="170">
        <v>300000</v>
      </c>
      <c r="K675" s="170">
        <f t="shared" ref="K675" si="3707">I675-I674-J675+J674</f>
        <v>-4591.570000000007</v>
      </c>
      <c r="L675" s="168">
        <f t="shared" ref="L675" si="3708">K675/I674</f>
        <v>-1.1659371555360848E-2</v>
      </c>
      <c r="M675" s="178">
        <f t="shared" ref="M675" si="3709">I675-J675</f>
        <v>89217.82</v>
      </c>
      <c r="N675" s="180">
        <f t="shared" ref="N675" si="3710">M675/J675</f>
        <v>0.29739273333333338</v>
      </c>
      <c r="O675" s="179">
        <f t="shared" ref="O675" si="3711">N675/(A675/365.25)</f>
        <v>0.10434456853986554</v>
      </c>
      <c r="P675" s="178" t="b">
        <f t="shared" ref="P675" si="3712">L675&gt;D675</f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ref="S675" si="3713">I675-R675</f>
        <v>111667.02000000002</v>
      </c>
      <c r="T675" s="170">
        <v>-31574</v>
      </c>
      <c r="U675" s="170">
        <f t="shared" ref="U675" si="3714">M675-T675</f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ref="X675" si="3715">E675/(A675/365.25)/V675</f>
        <v>0.72796080876750646</v>
      </c>
      <c r="Y675" s="171">
        <f t="shared" ref="Y675" si="3716">O675/W675</f>
        <v>0.38533195776680862</v>
      </c>
      <c r="Z675" s="784">
        <f t="shared" ref="Z675" si="3717">-(E675-N675)</f>
        <v>5.0514536773146324E-3</v>
      </c>
    </row>
    <row r="676" spans="1:26" ht="20.100000000000001" customHeight="1" x14ac:dyDescent="0.25">
      <c r="A676" s="160">
        <f t="shared" ref="A676" si="3718">B676-$B$2</f>
        <v>1044</v>
      </c>
      <c r="B676" s="169">
        <v>43277</v>
      </c>
      <c r="C676" s="211">
        <v>2723.06</v>
      </c>
      <c r="D676" s="168">
        <f t="shared" ref="D676" si="3719">(C676-C675)/C675</f>
        <v>2.2045806696182951E-3</v>
      </c>
      <c r="E676" s="205">
        <f t="shared" ref="E676" si="3720">(C676-$C$2)/$C$2</f>
        <v>0.2951903502596982</v>
      </c>
      <c r="F676" s="215">
        <v>7561.62</v>
      </c>
      <c r="G676" s="168">
        <f t="shared" ref="G676" si="3721">(F676-F675)/F675</f>
        <v>3.9325544344131561E-3</v>
      </c>
      <c r="H676" s="199">
        <f t="shared" ref="H676" si="3722">(F676-F$2)/F$2</f>
        <v>0.48508749533554613</v>
      </c>
      <c r="I676" s="822">
        <v>389379.96</v>
      </c>
      <c r="J676" s="170">
        <v>300000</v>
      </c>
      <c r="K676" s="170">
        <f t="shared" ref="K676" si="3723">I676-I675-J676+J675</f>
        <v>162.14000000001397</v>
      </c>
      <c r="L676" s="168">
        <f t="shared" ref="L676" si="3724">K676/I675</f>
        <v>4.165790764667814E-4</v>
      </c>
      <c r="M676" s="178">
        <f t="shared" ref="M676" si="3725">I676-J676</f>
        <v>89379.960000000021</v>
      </c>
      <c r="N676" s="180">
        <f t="shared" ref="N676" si="3726">M676/J676</f>
        <v>0.29793320000000006</v>
      </c>
      <c r="O676" s="179">
        <f t="shared" ref="O676" si="3727">N676/(A676/365.25)</f>
        <v>0.10423381350574715</v>
      </c>
      <c r="P676" s="178" t="b">
        <f t="shared" ref="P676" si="3728">L676&gt;D676</f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ref="S676" si="3729">I676-R676</f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ref="X676" si="3730">E676/(A676/365.25)/V676</f>
        <v>0.73346619555718418</v>
      </c>
      <c r="Y676" s="171">
        <f t="shared" ref="Y676" si="3731">O676/W676</f>
        <v>0.38520919785221641</v>
      </c>
      <c r="Z676" s="784">
        <f t="shared" ref="Z676" si="3732">-(E676-N676)</f>
        <v>2.742849740301867E-3</v>
      </c>
    </row>
    <row r="677" spans="1:26" ht="20.100000000000001" customHeight="1" x14ac:dyDescent="0.25">
      <c r="A677" s="160">
        <f t="shared" ref="A677" si="3733">B677-$B$2</f>
        <v>1045</v>
      </c>
      <c r="B677" s="169">
        <v>43278</v>
      </c>
      <c r="C677" s="211">
        <v>2699.23</v>
      </c>
      <c r="D677" s="168">
        <f t="shared" ref="D677" si="3734">(C677-C676)/C676</f>
        <v>-8.7511843293941113E-3</v>
      </c>
      <c r="E677" s="205">
        <f t="shared" ref="E677" si="3735">(C677-$C$2)/$C$2</f>
        <v>0.28385590076292305</v>
      </c>
      <c r="F677" s="215">
        <v>7445.08</v>
      </c>
      <c r="G677" s="168">
        <f t="shared" ref="G677" si="3736">(F677-F676)/F676</f>
        <v>-1.5412041335057827E-2</v>
      </c>
      <c r="H677" s="199">
        <f t="shared" ref="H677" si="3737">(F677-F$2)/F$2</f>
        <v>0.46219926547125717</v>
      </c>
      <c r="I677" s="822">
        <v>389218.36</v>
      </c>
      <c r="J677" s="170">
        <v>300000</v>
      </c>
      <c r="K677" s="170">
        <f t="shared" ref="K677" si="3738">I677-I676-J677+J676</f>
        <v>-161.60000000003492</v>
      </c>
      <c r="L677" s="168">
        <f t="shared" ref="L677" si="3739">K677/I676</f>
        <v>-4.1501879038673411E-4</v>
      </c>
      <c r="M677" s="178">
        <f t="shared" ref="M677" si="3740">I677-J677</f>
        <v>89218.359999999986</v>
      </c>
      <c r="N677" s="180">
        <f t="shared" ref="N677" si="3741">M677/J677</f>
        <v>0.29739453333333327</v>
      </c>
      <c r="O677" s="179">
        <f t="shared" ref="O677" si="3742">N677/(A677/365.25)</f>
        <v>0.10394579263157892</v>
      </c>
      <c r="P677" s="178" t="b">
        <f t="shared" ref="P677" si="3743">L677&gt;D677</f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ref="S677" si="3744">I677-R677</f>
        <v>101697.03999999998</v>
      </c>
      <c r="T677" s="170">
        <v>-31552</v>
      </c>
      <c r="U677" s="170">
        <f t="shared" ref="U677" si="3745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ref="X677" si="3746">E677/(A677/365.25)/V677</f>
        <v>0.70459261663957362</v>
      </c>
      <c r="Y677" s="171">
        <f t="shared" ref="Y677" si="3747">O677/W677</f>
        <v>0.38442897844932561</v>
      </c>
      <c r="Z677" s="784">
        <f t="shared" ref="Z677" si="3748">-(E677-N677)</f>
        <v>1.3538632570410214E-2</v>
      </c>
    </row>
    <row r="678" spans="1:26" ht="20.100000000000001" customHeight="1" x14ac:dyDescent="0.25">
      <c r="A678" s="160">
        <f t="shared" ref="A678" si="3749">B678-$B$2</f>
        <v>1046</v>
      </c>
      <c r="B678" s="169">
        <v>43279</v>
      </c>
      <c r="C678" s="211">
        <v>2716.31</v>
      </c>
      <c r="D678" s="168">
        <f t="shared" ref="D678" si="3750">(C678-C677)/C677</f>
        <v>6.3277305009206055E-3</v>
      </c>
      <c r="E678" s="205">
        <f t="shared" ref="E678" si="3751">(C678-$C$2)/$C$2</f>
        <v>0.2919797949049675</v>
      </c>
      <c r="F678" s="215">
        <v>7503.68</v>
      </c>
      <c r="G678" s="168">
        <f t="shared" ref="G678" si="3752">(F678-F677)/F677</f>
        <v>7.870969821680944E-3</v>
      </c>
      <c r="H678" s="199">
        <f t="shared" ref="H678" si="3753">(F678-F$2)/F$2</f>
        <v>0.4737081917630655</v>
      </c>
      <c r="I678" s="822">
        <v>385956.85</v>
      </c>
      <c r="J678" s="170">
        <v>300000</v>
      </c>
      <c r="K678" s="170">
        <f t="shared" ref="K678" si="3754">I678-I677-J678+J677</f>
        <v>-3261.5100000000093</v>
      </c>
      <c r="L678" s="168">
        <f t="shared" ref="L678" si="3755">K678/I677</f>
        <v>-8.3796406726548284E-3</v>
      </c>
      <c r="M678" s="178">
        <f t="shared" ref="M678" si="3756">I678-J678</f>
        <v>85956.849999999977</v>
      </c>
      <c r="N678" s="180">
        <f t="shared" ref="N678" si="3757">M678/J678</f>
        <v>0.28652283333333328</v>
      </c>
      <c r="O678" s="179">
        <f t="shared" ref="O678" si="3758">N678/(A678/365.25)</f>
        <v>0.10005015762428296</v>
      </c>
      <c r="P678" s="178" t="b">
        <f t="shared" ref="P678" si="3759">L678&gt;D678</f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ref="S678" si="3760">I678-R678</f>
        <v>85222.27999999997</v>
      </c>
      <c r="T678" s="170">
        <v>-31828</v>
      </c>
      <c r="U678" s="170">
        <f t="shared" ref="U678" si="3761">M678-T678</f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ref="X678" si="3762">E678/(A678/365.25)/V678</f>
        <v>0.7243631441355034</v>
      </c>
      <c r="Y678" s="171">
        <f t="shared" ref="Y678" si="3763">O678/W678</f>
        <v>0.37021904047841658</v>
      </c>
      <c r="Z678" s="784">
        <f t="shared" ref="Z678" si="3764">-(E678-N678)</f>
        <v>-5.4569615716342224E-3</v>
      </c>
    </row>
    <row r="679" spans="1:26" ht="20.100000000000001" customHeight="1" x14ac:dyDescent="0.25">
      <c r="A679" s="160">
        <f t="shared" ref="A679" si="3765">B679-$B$2</f>
        <v>1047</v>
      </c>
      <c r="B679" s="169">
        <v>43280</v>
      </c>
      <c r="C679" s="211">
        <v>2718.37</v>
      </c>
      <c r="D679" s="168">
        <f t="shared" ref="D679" si="3766">(C679-C678)/C678</f>
        <v>7.5838177527599773E-4</v>
      </c>
      <c r="E679" s="205">
        <f t="shared" ref="E679" si="3767">(C679-$C$2)/$C$2</f>
        <v>0.29295960883544825</v>
      </c>
      <c r="F679" s="215">
        <v>7510.3</v>
      </c>
      <c r="G679" s="168">
        <f t="shared" ref="G679" si="3768">(F679-F678)/F678</f>
        <v>8.8223378395665736E-4</v>
      </c>
      <c r="H679" s="199">
        <f t="shared" ref="H679" si="3769">(F679-F$2)/F$2</f>
        <v>0.47500834691753252</v>
      </c>
      <c r="I679" s="838">
        <v>386037.42</v>
      </c>
      <c r="J679" s="170">
        <v>300000</v>
      </c>
      <c r="K679" s="170">
        <f t="shared" ref="K679" si="3770">I679-I678-J679+J678</f>
        <v>80.570000000006985</v>
      </c>
      <c r="L679" s="168">
        <f t="shared" ref="L679" si="3771">K679/I678</f>
        <v>2.087539060389963E-4</v>
      </c>
      <c r="M679" s="462">
        <f t="shared" ref="M679" si="3772">I679-J679</f>
        <v>86037.419999999984</v>
      </c>
      <c r="N679" s="180">
        <f t="shared" ref="N679" si="3773">M679/J679</f>
        <v>0.28679139999999992</v>
      </c>
      <c r="O679" s="179">
        <f t="shared" ref="O679" si="3774">N679/(A679/365.25)</f>
        <v>0.1000482892550143</v>
      </c>
      <c r="P679" s="178" t="b">
        <f t="shared" ref="P679" si="3775">L679&gt;D679</f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ref="S679" si="3776">I679-R679</f>
        <v>89534.62</v>
      </c>
      <c r="T679" s="170">
        <v>-31984</v>
      </c>
      <c r="U679" s="170">
        <f t="shared" ref="U679" si="3777">M679-T679</f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ref="X679" si="3778">E679/(A679/365.25)/V679</f>
        <v>0.72663662641063287</v>
      </c>
      <c r="Y679" s="171">
        <f t="shared" ref="Y679" si="3779">O679/W679</f>
        <v>0.37048609238858166</v>
      </c>
      <c r="Z679" s="784">
        <f t="shared" ref="Z679" si="3780">-(E679-N679)</f>
        <v>-6.16820883544833E-3</v>
      </c>
    </row>
    <row r="680" spans="1:26" ht="20.100000000000001" customHeight="1" x14ac:dyDescent="0.25">
      <c r="A680" s="160">
        <f t="shared" ref="A680" si="3781">B680-$B$2</f>
        <v>1050</v>
      </c>
      <c r="B680" s="169">
        <v>43283</v>
      </c>
      <c r="C680" s="211">
        <v>2726.71</v>
      </c>
      <c r="D680" s="168">
        <f t="shared" ref="D680" si="3782">(C680-C679)/C679</f>
        <v>3.0680150237091144E-3</v>
      </c>
      <c r="E680" s="205">
        <f t="shared" ref="E680" si="3783">(C680-$C$2)/$C$2</f>
        <v>0.29692642834040445</v>
      </c>
      <c r="F680" s="215">
        <v>7567.68</v>
      </c>
      <c r="G680" s="168">
        <f t="shared" ref="G680" si="3784">(F680-F679)/F679</f>
        <v>7.6401741608191562E-3</v>
      </c>
      <c r="H680" s="199">
        <f t="shared" ref="H680" si="3785">(F680-F$2)/F$2</f>
        <v>0.48627766757664448</v>
      </c>
      <c r="I680" s="822">
        <v>385840.77</v>
      </c>
      <c r="J680" s="170">
        <v>300000</v>
      </c>
      <c r="K680" s="170">
        <f t="shared" ref="K680" si="3786">I680-I679-J680+J679</f>
        <v>-196.64999999996508</v>
      </c>
      <c r="L680" s="168">
        <f t="shared" ref="L680" si="3787">K680/I679</f>
        <v>-5.0940657514487867E-4</v>
      </c>
      <c r="M680" s="178">
        <f t="shared" ref="M680" si="3788">I680-J680</f>
        <v>85840.770000000019</v>
      </c>
      <c r="N680" s="180">
        <f t="shared" ref="N680" si="3789">M680/J680</f>
        <v>0.28613590000000005</v>
      </c>
      <c r="O680" s="179">
        <f t="shared" ref="O680" si="3790">N680/(A680/365.25)</f>
        <v>9.9534416642857157E-2</v>
      </c>
      <c r="P680" s="178" t="b">
        <f t="shared" ref="P680" si="3791">L680&gt;D680</f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ref="S680" si="3792">I680-R680</f>
        <v>83279.660000000033</v>
      </c>
      <c r="T680" s="170">
        <v>-32060</v>
      </c>
      <c r="U680" s="170">
        <f t="shared" ref="U680" si="3793">M680-T680</f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ref="X680" si="3794">E680/(A680/365.25)/V680</f>
        <v>0.73486588403460684</v>
      </c>
      <c r="Y680" s="171">
        <f t="shared" ref="Y680" si="3795">O680/W680</f>
        <v>0.36885449351182442</v>
      </c>
      <c r="Z680" s="784">
        <f t="shared" ref="Z680" si="3796">-(E680-N680)</f>
        <v>-1.0790528340404393E-2</v>
      </c>
    </row>
    <row r="681" spans="1:26" ht="20.100000000000001" customHeight="1" x14ac:dyDescent="0.25">
      <c r="A681" s="160">
        <f t="shared" ref="A681" si="3797">B681-$B$2</f>
        <v>1051</v>
      </c>
      <c r="B681" s="169">
        <v>43284</v>
      </c>
      <c r="C681" s="211">
        <v>2713.22</v>
      </c>
      <c r="D681" s="168">
        <f t="shared" ref="D681:D682" si="3798">(C681-C680)/C680</f>
        <v>-4.9473541374037708E-3</v>
      </c>
      <c r="E681" s="205">
        <f t="shared" ref="E681" si="3799">(C681-$C$2)/$C$2</f>
        <v>0.29051007400924628</v>
      </c>
      <c r="F681" s="215">
        <v>7502.67</v>
      </c>
      <c r="G681" s="168">
        <f t="shared" ref="G681:G682" si="3800">(F681-F680)/F680</f>
        <v>-8.5904795128758371E-3</v>
      </c>
      <c r="H681" s="199">
        <f t="shared" ref="H681" si="3801">(F681-F$2)/F$2</f>
        <v>0.47350982972288241</v>
      </c>
      <c r="I681" s="822">
        <v>389787.46</v>
      </c>
      <c r="J681" s="170">
        <v>300000</v>
      </c>
      <c r="K681" s="170">
        <f t="shared" ref="K681:K682" si="3802">I681-I680-J681+J680</f>
        <v>3946.6900000000023</v>
      </c>
      <c r="L681" s="168">
        <f t="shared" ref="L681:L682" si="3803">K681/I680</f>
        <v>1.0228805006790759E-2</v>
      </c>
      <c r="M681" s="178">
        <f t="shared" ref="M681" si="3804">I681-J681</f>
        <v>89787.460000000021</v>
      </c>
      <c r="N681" s="180">
        <f t="shared" ref="N681" si="3805">M681/J681</f>
        <v>0.29929153333333341</v>
      </c>
      <c r="O681" s="179">
        <f t="shared" ref="O681" si="3806">N681/(A681/365.25)</f>
        <v>0.10401163896289252</v>
      </c>
      <c r="P681" s="178" t="b">
        <f t="shared" ref="P681" si="3807">L681&gt;D681</f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" si="3808">I681-R681</f>
        <v>101410.69</v>
      </c>
      <c r="T681" s="170">
        <v>-31900</v>
      </c>
      <c r="U681" s="170">
        <f t="shared" ref="U681" si="3809">M681-T681</f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ref="X681" si="3810">E681/(A681/365.25)/V681</f>
        <v>0.71863727720044857</v>
      </c>
      <c r="Y681" s="171">
        <f t="shared" ref="Y681" si="3811">O681/W681</f>
        <v>0.38563994459650563</v>
      </c>
      <c r="Z681" s="784">
        <f t="shared" ref="Z681" si="3812">-(E681-N681)</f>
        <v>8.7814593240871375E-3</v>
      </c>
    </row>
    <row r="682" spans="1:26" ht="20.100000000000001" customHeight="1" x14ac:dyDescent="0.25">
      <c r="A682" s="160">
        <f t="shared" ref="A682" si="3813">B682-$B$2</f>
        <v>1053</v>
      </c>
      <c r="B682" s="169">
        <v>43286</v>
      </c>
      <c r="C682" s="211">
        <v>2736.61</v>
      </c>
      <c r="D682" s="168">
        <f t="shared" si="3798"/>
        <v>8.6207532009937738E-3</v>
      </c>
      <c r="E682" s="205">
        <f t="shared" ref="E682" si="3814">(C682-$C$2)/$C$2</f>
        <v>0.30163524286067617</v>
      </c>
      <c r="F682" s="215">
        <v>7586.42</v>
      </c>
      <c r="G682" s="168">
        <f t="shared" si="3800"/>
        <v>1.1162692748048361E-2</v>
      </c>
      <c r="H682" s="199">
        <f t="shared" ref="H682" si="3815">(F682-F$2)/F$2</f>
        <v>0.48995816721330798</v>
      </c>
      <c r="I682" s="822">
        <v>390550.57</v>
      </c>
      <c r="J682" s="170">
        <v>300000</v>
      </c>
      <c r="K682" s="170">
        <f t="shared" si="3802"/>
        <v>763.10999999998603</v>
      </c>
      <c r="L682" s="168">
        <f t="shared" si="3803"/>
        <v>1.9577592362770881E-3</v>
      </c>
      <c r="M682" s="178">
        <f t="shared" ref="M682" si="3816">I682-J682</f>
        <v>90550.57</v>
      </c>
      <c r="N682" s="180">
        <f t="shared" ref="N682" si="3817">M682/J682</f>
        <v>0.30183523333333334</v>
      </c>
      <c r="O682" s="179">
        <f t="shared" ref="O682" si="3818">N682/(A682/365.25)</f>
        <v>0.10469640928300096</v>
      </c>
      <c r="P682" s="178" t="b">
        <f t="shared" ref="P682" si="3819">L682&gt;D682</f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ref="S682" si="3820">I682-R682</f>
        <v>127602.71000000002</v>
      </c>
      <c r="T682" s="170">
        <v>-31952</v>
      </c>
      <c r="U682" s="170">
        <f t="shared" ref="U682" si="3821">M682-T682</f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ref="X682" si="3822">E682/(A682/365.25)/V682</f>
        <v>0.74481810973934559</v>
      </c>
      <c r="Y682" s="171">
        <f t="shared" ref="Y682" si="3823">O682/W682</f>
        <v>0.38846327552275861</v>
      </c>
      <c r="Z682" s="784">
        <f t="shared" ref="Z682" si="3824">-(E682-N682)</f>
        <v>1.999904726571744E-4</v>
      </c>
    </row>
    <row r="683" spans="1:26" ht="20.100000000000001" customHeight="1" x14ac:dyDescent="0.25">
      <c r="A683" s="160">
        <f t="shared" ref="A683" si="3825">B683-$B$2</f>
        <v>1054</v>
      </c>
      <c r="B683" s="169">
        <v>43287</v>
      </c>
      <c r="C683" s="211">
        <v>2759.82</v>
      </c>
      <c r="D683" s="168">
        <f t="shared" ref="D683" si="3826">(C683-C682)/C682</f>
        <v>8.4812962022356251E-3</v>
      </c>
      <c r="E683" s="205">
        <f t="shared" ref="E683" si="3827">(C683-$C$2)/$C$2</f>
        <v>0.31267479690264649</v>
      </c>
      <c r="F683" s="215">
        <v>7688.38</v>
      </c>
      <c r="G683" s="168">
        <f t="shared" ref="G683" si="3828">(F683-F682)/F682</f>
        <v>1.3439804281861541E-2</v>
      </c>
      <c r="H683" s="199">
        <f t="shared" ref="H683" si="3829">(F683-F$2)/F$2</f>
        <v>0.50998291336881596</v>
      </c>
      <c r="I683" s="822">
        <v>394408.13</v>
      </c>
      <c r="J683" s="170">
        <v>300000</v>
      </c>
      <c r="K683" s="170">
        <f t="shared" ref="K683" si="3830">I683-I682-J683+J682</f>
        <v>3857.5599999999977</v>
      </c>
      <c r="L683" s="168">
        <f t="shared" ref="L683" si="3831">K683/I682</f>
        <v>9.8772356163761271E-3</v>
      </c>
      <c r="M683" s="178">
        <f t="shared" ref="M683" si="3832">I683-J683</f>
        <v>94408.13</v>
      </c>
      <c r="N683" s="180">
        <f t="shared" ref="N683" si="3833">M683/J683</f>
        <v>0.31469376666666671</v>
      </c>
      <c r="O683" s="179">
        <f t="shared" ref="O683" si="3834">N683/(A683/365.25)</f>
        <v>0.10905303441650856</v>
      </c>
      <c r="P683" s="178" t="b">
        <f t="shared" ref="P683" si="3835">L683&gt;D683</f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ref="S683" si="3836">I683-R683</f>
        <v>168331.25</v>
      </c>
      <c r="T683" s="170">
        <v>-31820</v>
      </c>
      <c r="U683" s="170">
        <f t="shared" ref="U683" si="3837">M683-T683</f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ref="X683" si="3838">E683/(A683/365.25)/V683</f>
        <v>0.77144318794023969</v>
      </c>
      <c r="Y683" s="171">
        <f t="shared" ref="Y683" si="3839">O683/W683</f>
        <v>0.40483772983645061</v>
      </c>
      <c r="Z683" s="784">
        <f t="shared" ref="Z683" si="3840">-(E683-N683)</f>
        <v>2.0189697640202175E-3</v>
      </c>
    </row>
    <row r="684" spans="1:26" ht="20.100000000000001" customHeight="1" x14ac:dyDescent="0.25">
      <c r="A684" s="160">
        <f t="shared" ref="A684" si="3841">B684-$B$2</f>
        <v>1055</v>
      </c>
      <c r="B684" s="169">
        <v>43288</v>
      </c>
      <c r="C684" s="211">
        <v>2784.17</v>
      </c>
      <c r="D684" s="168">
        <f t="shared" ref="D684" si="3842">(C684-C683)/C683</f>
        <v>8.8230391837148467E-3</v>
      </c>
      <c r="E684" s="205">
        <f t="shared" ref="E684" si="3843">(C684-$C$2)/$C$2</f>
        <v>0.32425657807119346</v>
      </c>
      <c r="F684" s="215">
        <v>7756.2</v>
      </c>
      <c r="G684" s="168">
        <f t="shared" ref="G684" si="3844">(F684-F683)/F683</f>
        <v>8.821104055730819E-3</v>
      </c>
      <c r="H684" s="199">
        <f t="shared" ref="H684" si="3845">(F684-F$2)/F$2</f>
        <v>0.52330262977001785</v>
      </c>
      <c r="I684" s="822">
        <v>396269.68</v>
      </c>
      <c r="J684" s="170">
        <v>300000</v>
      </c>
      <c r="K684" s="170">
        <f t="shared" ref="K684" si="3846">I684-I683-J684+J683</f>
        <v>1861.5499999999884</v>
      </c>
      <c r="L684" s="168">
        <f t="shared" ref="L684" si="3847">K684/I683</f>
        <v>4.7198570678550376E-3</v>
      </c>
      <c r="M684" s="178">
        <f t="shared" ref="M684" si="3848">I684-J684</f>
        <v>96269.68</v>
      </c>
      <c r="N684" s="180">
        <f t="shared" ref="N684" si="3849">M684/J684</f>
        <v>0.3208989333333333</v>
      </c>
      <c r="O684" s="179">
        <f t="shared" ref="O684" si="3850">N684/(A684/365.25)</f>
        <v>0.11109794824644549</v>
      </c>
      <c r="P684" s="178" t="b">
        <f t="shared" ref="P684" si="3851">L684&gt;D684</f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ref="S684" si="3852">I684-R684</f>
        <v>174772.63</v>
      </c>
      <c r="T684" s="170">
        <v>-31748</v>
      </c>
      <c r="U684" s="170">
        <f t="shared" ref="U684" si="3853">M684-T684</f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ref="X684" si="3854">E684/(A684/365.25)/V684</f>
        <v>0.79932054216629933</v>
      </c>
      <c r="Y684" s="171">
        <f t="shared" ref="Y684" si="3855">O684/W684</f>
        <v>0.41271480547650791</v>
      </c>
      <c r="Z684" s="784">
        <f t="shared" ref="Z684" si="3856">-(E684-N684)</f>
        <v>-3.3576447378601548E-3</v>
      </c>
    </row>
  </sheetData>
  <conditionalFormatting sqref="L685:L1048576 L1:L2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84">
    <cfRule type="colorScale" priority="97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84">
    <cfRule type="colorScale" priority="98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84">
    <cfRule type="colorScale" priority="983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354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354</v>
      </c>
      <c r="R4" s="490">
        <v>-9.7000000000000003E-3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208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207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51" t="s">
        <v>78</v>
      </c>
      <c r="P42" s="851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389.40000000000003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385.86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382.32000000000005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378.78000000000003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375.24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371.7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368.16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364.62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361.08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357.54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354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350.46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346.92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343.38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339.84</v>
      </c>
      <c r="U57" s="470"/>
    </row>
    <row r="58" spans="1:21" x14ac:dyDescent="0.25">
      <c r="O58" s="81">
        <v>0.95</v>
      </c>
      <c r="P58" s="81">
        <f t="shared" si="3"/>
        <v>336.3</v>
      </c>
      <c r="U58" s="470"/>
    </row>
    <row r="59" spans="1:21" x14ac:dyDescent="0.25">
      <c r="O59" s="81">
        <v>0.94</v>
      </c>
      <c r="P59" s="81">
        <f t="shared" si="3"/>
        <v>332.76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329.22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325.68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322.14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318.60000000000002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574" priority="58">
      <formula>F19&gt;0</formula>
    </cfRule>
    <cfRule type="expression" dxfId="2573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572" priority="47">
      <formula>H25&gt;0</formula>
    </cfRule>
    <cfRule type="expression" dxfId="2571" priority="48">
      <formula>H25&lt;0</formula>
    </cfRule>
  </conditionalFormatting>
  <conditionalFormatting sqref="M39">
    <cfRule type="expression" dxfId="2570" priority="45">
      <formula>M39&gt;0</formula>
    </cfRule>
    <cfRule type="expression" dxfId="2569" priority="46">
      <formula>M39&lt;0</formula>
    </cfRule>
  </conditionalFormatting>
  <conditionalFormatting sqref="F61:F67">
    <cfRule type="expression" dxfId="2568" priority="43">
      <formula>F61&gt;0</formula>
    </cfRule>
    <cfRule type="expression" dxfId="2567" priority="44">
      <formula>F61&lt;0</formula>
    </cfRule>
  </conditionalFormatting>
  <conditionalFormatting sqref="H61:H67">
    <cfRule type="expression" dxfId="2566" priority="41">
      <formula>H61&gt;0</formula>
    </cfRule>
    <cfRule type="expression" dxfId="2565" priority="42">
      <formula>H61&lt;0</formula>
    </cfRule>
  </conditionalFormatting>
  <conditionalFormatting sqref="F21:F24">
    <cfRule type="expression" dxfId="2564" priority="39">
      <formula>F21&gt;0</formula>
    </cfRule>
    <cfRule type="expression" dxfId="2563" priority="40">
      <formula>F21&lt;0</formula>
    </cfRule>
  </conditionalFormatting>
  <conditionalFormatting sqref="H21:H24">
    <cfRule type="expression" dxfId="2562" priority="37">
      <formula>H21&gt;0</formula>
    </cfRule>
    <cfRule type="expression" dxfId="2561" priority="38">
      <formula>H21&lt;0</formula>
    </cfRule>
  </conditionalFormatting>
  <conditionalFormatting sqref="I25:I28">
    <cfRule type="expression" dxfId="2560" priority="31">
      <formula>I25&gt;0</formula>
    </cfRule>
    <cfRule type="expression" dxfId="2559" priority="32">
      <formula>I25&lt;0</formula>
    </cfRule>
  </conditionalFormatting>
  <conditionalFormatting sqref="I21:I24">
    <cfRule type="expression" dxfId="2558" priority="29">
      <formula>I21&gt;0</formula>
    </cfRule>
    <cfRule type="expression" dxfId="2557" priority="30">
      <formula>I21&lt;0</formula>
    </cfRule>
  </conditionalFormatting>
  <conditionalFormatting sqref="H29">
    <cfRule type="expression" dxfId="2556" priority="27">
      <formula>H29&gt;0</formula>
    </cfRule>
    <cfRule type="expression" dxfId="2555" priority="28">
      <formula>H29&lt;0</formula>
    </cfRule>
  </conditionalFormatting>
  <conditionalFormatting sqref="H30">
    <cfRule type="expression" dxfId="2554" priority="25">
      <formula>H30&gt;0</formula>
    </cfRule>
    <cfRule type="expression" dxfId="2553" priority="26">
      <formula>H30&lt;0</formula>
    </cfRule>
  </conditionalFormatting>
  <conditionalFormatting sqref="H31">
    <cfRule type="expression" dxfId="2552" priority="23">
      <formula>H31&gt;0</formula>
    </cfRule>
    <cfRule type="expression" dxfId="2551" priority="24">
      <formula>H31&lt;0</formula>
    </cfRule>
  </conditionalFormatting>
  <conditionalFormatting sqref="Q7">
    <cfRule type="expression" dxfId="2550" priority="21">
      <formula>Q7&gt;0</formula>
    </cfRule>
    <cfRule type="expression" dxfId="2549" priority="22">
      <formula>Q7&lt;0</formula>
    </cfRule>
  </conditionalFormatting>
  <conditionalFormatting sqref="Q8">
    <cfRule type="expression" dxfId="2548" priority="19">
      <formula>Q8&gt;0</formula>
    </cfRule>
    <cfRule type="expression" dxfId="2547" priority="20">
      <formula>Q8&lt;0</formula>
    </cfRule>
  </conditionalFormatting>
  <conditionalFormatting sqref="F73:F82">
    <cfRule type="expression" dxfId="2546" priority="17">
      <formula>F73&gt;0</formula>
    </cfRule>
    <cfRule type="expression" dxfId="2545" priority="18">
      <formula>F73&lt;0</formula>
    </cfRule>
  </conditionalFormatting>
  <conditionalFormatting sqref="H73:H76">
    <cfRule type="expression" dxfId="2544" priority="15">
      <formula>H73&gt;0</formula>
    </cfRule>
    <cfRule type="expression" dxfId="2543" priority="16">
      <formula>H73&lt;0</formula>
    </cfRule>
  </conditionalFormatting>
  <conditionalFormatting sqref="F69:F72">
    <cfRule type="expression" dxfId="2542" priority="13">
      <formula>F69&gt;0</formula>
    </cfRule>
    <cfRule type="expression" dxfId="2541" priority="14">
      <formula>F69&lt;0</formula>
    </cfRule>
  </conditionalFormatting>
  <conditionalFormatting sqref="H69:H72">
    <cfRule type="expression" dxfId="2540" priority="11">
      <formula>H69&gt;0</formula>
    </cfRule>
    <cfRule type="expression" dxfId="2539" priority="12">
      <formula>H69&lt;0</formula>
    </cfRule>
  </conditionalFormatting>
  <conditionalFormatting sqref="I73:I76">
    <cfRule type="expression" dxfId="2538" priority="9">
      <formula>I73&gt;0</formula>
    </cfRule>
    <cfRule type="expression" dxfId="2537" priority="10">
      <formula>I73&lt;0</formula>
    </cfRule>
  </conditionalFormatting>
  <conditionalFormatting sqref="I69:I72">
    <cfRule type="expression" dxfId="2536" priority="7">
      <formula>I69&gt;0</formula>
    </cfRule>
    <cfRule type="expression" dxfId="2535" priority="8">
      <formula>I69&lt;0</formula>
    </cfRule>
  </conditionalFormatting>
  <conditionalFormatting sqref="H77">
    <cfRule type="expression" dxfId="2534" priority="5">
      <formula>H77&gt;0</formula>
    </cfRule>
    <cfRule type="expression" dxfId="2533" priority="6">
      <formula>H77&lt;0</formula>
    </cfRule>
  </conditionalFormatting>
  <conditionalFormatting sqref="H78">
    <cfRule type="expression" dxfId="2532" priority="3">
      <formula>H78&gt;0</formula>
    </cfRule>
    <cfRule type="expression" dxfId="2531" priority="4">
      <formula>H78&lt;0</formula>
    </cfRule>
  </conditionalFormatting>
  <conditionalFormatting sqref="H79">
    <cfRule type="expression" dxfId="2530" priority="1">
      <formula>H79&gt;0</formula>
    </cfRule>
    <cfRule type="expression" dxfId="2529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37.11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37.11</v>
      </c>
      <c r="R4" s="490">
        <v>1.3100000000000001E-2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208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207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207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203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51" t="s">
        <v>78</v>
      </c>
      <c r="P42" s="851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40.821000000000005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40.4499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40.078800000000001</v>
      </c>
      <c r="Q45" s="2"/>
      <c r="T45" s="106" t="s">
        <v>99</v>
      </c>
      <c r="U45" s="352" t="s">
        <v>558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39.707700000000003</v>
      </c>
      <c r="Q46" s="2"/>
      <c r="T46" s="106" t="s">
        <v>100</v>
      </c>
      <c r="U46" s="352" t="s">
        <v>559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39.336600000000004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38.965499999999999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38.5944</v>
      </c>
      <c r="Q49" s="2"/>
      <c r="T49" s="106" t="s">
        <v>121</v>
      </c>
      <c r="U49" s="352" t="s">
        <v>421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38.223300000000002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37.852200000000003</v>
      </c>
      <c r="Q51" s="2"/>
      <c r="T51" s="106" t="s">
        <v>104</v>
      </c>
      <c r="U51" s="352" t="s">
        <v>560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37.481099999999998</v>
      </c>
      <c r="Q52" s="2"/>
      <c r="T52" s="106" t="s">
        <v>105</v>
      </c>
      <c r="U52" s="352" t="s">
        <v>411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37.11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36.738900000000001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36.367799999999995</v>
      </c>
      <c r="Q55" s="2"/>
      <c r="T55" s="106" t="s">
        <v>107</v>
      </c>
      <c r="U55" s="352" t="s">
        <v>561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35.996699999999997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35.625599999999999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35.2545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34.883399999999995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34.512300000000003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34.141199999999998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33.770099999999999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33.399000000000001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528" priority="29">
      <formula>N19&gt;0</formula>
    </cfRule>
    <cfRule type="expression" dxfId="2527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526" priority="23">
      <formula>F22&gt;0</formula>
    </cfRule>
    <cfRule type="expression" dxfId="2525" priority="24">
      <formula>F22&lt;0</formula>
    </cfRule>
  </conditionalFormatting>
  <conditionalFormatting sqref="H22:H31">
    <cfRule type="expression" dxfId="2524" priority="21">
      <formula>H22&gt;0</formula>
    </cfRule>
    <cfRule type="expression" dxfId="2523" priority="22">
      <formula>H22&lt;0</formula>
    </cfRule>
  </conditionalFormatting>
  <conditionalFormatting sqref="I21:J31">
    <cfRule type="expression" dxfId="2522" priority="19">
      <formula>I21&gt;0</formula>
    </cfRule>
    <cfRule type="expression" dxfId="2521" priority="20">
      <formula>I21&lt;0</formula>
    </cfRule>
  </conditionalFormatting>
  <conditionalFormatting sqref="Q8">
    <cfRule type="expression" dxfId="2520" priority="11">
      <formula>Q8&gt;0</formula>
    </cfRule>
    <cfRule type="expression" dxfId="2519" priority="12">
      <formula>Q8&lt;0</formula>
    </cfRule>
  </conditionalFormatting>
  <conditionalFormatting sqref="Q7">
    <cfRule type="expression" dxfId="2518" priority="13">
      <formula>Q7&gt;0</formula>
    </cfRule>
    <cfRule type="expression" dxfId="2517" priority="14">
      <formula>Q7&lt;0</formula>
    </cfRule>
  </conditionalFormatting>
  <conditionalFormatting sqref="F56:F66">
    <cfRule type="expression" dxfId="2516" priority="9">
      <formula>F56&gt;0</formula>
    </cfRule>
    <cfRule type="expression" dxfId="2515" priority="10">
      <formula>F56&lt;0</formula>
    </cfRule>
  </conditionalFormatting>
  <conditionalFormatting sqref="H56:H66">
    <cfRule type="expression" dxfId="2514" priority="7">
      <formula>H56&gt;0</formula>
    </cfRule>
    <cfRule type="expression" dxfId="2513" priority="8">
      <formula>H56&lt;0</formula>
    </cfRule>
  </conditionalFormatting>
  <conditionalFormatting sqref="I56:I66">
    <cfRule type="expression" dxfId="2512" priority="5">
      <formula>I56&gt;0</formula>
    </cfRule>
    <cfRule type="expression" dxfId="2511" priority="6">
      <formula>I56&lt;0</formula>
    </cfRule>
  </conditionalFormatting>
  <conditionalFormatting sqref="F21">
    <cfRule type="expression" dxfId="2510" priority="3">
      <formula>F21&gt;0</formula>
    </cfRule>
    <cfRule type="expression" dxfId="2509" priority="4">
      <formula>F21&lt;0</formula>
    </cfRule>
  </conditionalFormatting>
  <conditionalFormatting sqref="H21">
    <cfRule type="expression" dxfId="2508" priority="1">
      <formula>H21&gt;0</formula>
    </cfRule>
    <cfRule type="expression" dxfId="2507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213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239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60.05</v>
      </c>
      <c r="T3" s="1">
        <v>43112</v>
      </c>
      <c r="U3" t="s">
        <v>882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60.05</v>
      </c>
      <c r="R4" s="222">
        <v>1.78E-2</v>
      </c>
      <c r="T4" s="1">
        <v>43114</v>
      </c>
      <c r="U4" t="s">
        <v>881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892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782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956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208</v>
      </c>
      <c r="Q9" s="222">
        <f>IF(Q2=0, 0, Q8/Q6)</f>
        <v>0</v>
      </c>
      <c r="T9" s="151"/>
      <c r="U9" t="s">
        <v>981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207</v>
      </c>
      <c r="P10" s="33"/>
      <c r="Q10" s="2">
        <f>M177</f>
        <v>1157.8699999999953</v>
      </c>
      <c r="U10" t="s">
        <v>979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2.4646128226477937E-2</v>
      </c>
      <c r="R11" s="33">
        <f>1.48/4</f>
        <v>0.37</v>
      </c>
      <c r="U11" t="s">
        <v>980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946</v>
      </c>
      <c r="Q12" s="1"/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973</v>
      </c>
      <c r="Q13">
        <f>Q4/4</f>
        <v>15.012499999999999</v>
      </c>
      <c r="T13" s="1">
        <v>43212</v>
      </c>
      <c r="U13" t="s">
        <v>1024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1098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1120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1124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973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2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2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2">
        <f t="shared" ref="H31" si="10">(E31-D31)/D31</f>
        <v>6.1528217901136786E-3</v>
      </c>
      <c r="I31" s="193" t="s">
        <v>753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2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2">
        <f t="shared" si="13"/>
        <v>2.4372239668697671E-2</v>
      </c>
      <c r="I33" s="193" t="s">
        <v>755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2">
        <f t="shared" si="13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2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2">
        <f t="shared" si="13"/>
        <v>-0.16448936231301498</v>
      </c>
      <c r="I36" s="127" t="s">
        <v>767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2">
        <f t="shared" ref="H37:H38" si="16">(E37-D37)/D37</f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2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2">
        <f t="shared" ref="H39:H51" si="19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2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66.055000000000007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2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65.454499999999996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2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64.853999999999999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2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64.253500000000003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2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63.652999999999999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2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63.052500000000002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2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62.451999999999998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2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61.851500000000001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2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61.250999999999998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2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60.650500000000001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2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60.05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2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59.449499999999993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2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58.848999999999997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2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58.248499999999993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2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57.647999999999996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2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57.047499999999992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2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56.446999999999996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2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55.846499999999999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ref="F58:F61" si="30">C58*(E58-D58)</f>
        <v>-3143.4999999999995</v>
      </c>
      <c r="G58" s="39">
        <f t="shared" ref="G58:G61" si="31">D58*C58</f>
        <v>13188.5</v>
      </c>
      <c r="H58" s="222">
        <f t="shared" ref="H58:H61" si="32">(E58-D58)/D58</f>
        <v>-0.2383515941919096</v>
      </c>
      <c r="I58" s="10"/>
      <c r="J58" s="39">
        <v>-1986</v>
      </c>
      <c r="K58" s="39"/>
      <c r="O58" s="81">
        <v>0.92</v>
      </c>
      <c r="P58" s="81">
        <f t="shared" si="20"/>
        <v>55.246000000000002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30"/>
        <v>-2425.0000000000009</v>
      </c>
      <c r="G59" s="39">
        <f t="shared" si="31"/>
        <v>13187.5</v>
      </c>
      <c r="H59" s="222">
        <f t="shared" si="32"/>
        <v>-0.18388625592417068</v>
      </c>
      <c r="I59" s="39"/>
      <c r="J59" s="39">
        <v>-1268</v>
      </c>
      <c r="K59" s="39"/>
      <c r="O59" s="81">
        <v>0.91</v>
      </c>
      <c r="P59" s="81">
        <f t="shared" si="20"/>
        <v>54.645499999999998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30"/>
        <v>-2443.5</v>
      </c>
      <c r="G60" s="39">
        <f t="shared" si="31"/>
        <v>13096</v>
      </c>
      <c r="H60" s="222">
        <f t="shared" si="32"/>
        <v>-0.18658368967623704</v>
      </c>
      <c r="I60" s="10"/>
      <c r="J60" s="39">
        <v>-1286</v>
      </c>
      <c r="K60" s="39"/>
      <c r="O60" s="81">
        <v>0.9</v>
      </c>
      <c r="P60" s="81">
        <f t="shared" si="20"/>
        <v>54.045000000000002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30"/>
        <v>7.9599999999999227</v>
      </c>
      <c r="G61" s="39">
        <f t="shared" si="31"/>
        <v>10446.02</v>
      </c>
      <c r="H61" s="222">
        <f t="shared" si="32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ref="F62" si="33">C62*(E62-D62)</f>
        <v>620.99999999999932</v>
      </c>
      <c r="G62" s="39">
        <f t="shared" ref="G62" si="34">D62*C62</f>
        <v>4920</v>
      </c>
      <c r="H62" s="222">
        <f t="shared" ref="H62" si="35">(E62-D62)/D62</f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ref="F63" si="36">C63*(E63-D63)</f>
        <v>878.37000000000035</v>
      </c>
      <c r="G63" s="39">
        <f t="shared" ref="G63" si="37">D63*C63</f>
        <v>1976.1299999999999</v>
      </c>
      <c r="H63" s="222">
        <f t="shared" ref="H63" si="38">(E63-D63)/D63</f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39">C75*(E75-D75)</f>
        <v>15.999999999999943</v>
      </c>
      <c r="G75" s="363">
        <f t="shared" ref="G75:G83" si="40">D75*C75</f>
        <v>1924</v>
      </c>
      <c r="H75" s="364">
        <f t="shared" ref="H75:H83" si="41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39"/>
        <v>50.600000000000023</v>
      </c>
      <c r="G76" s="363">
        <f t="shared" si="40"/>
        <v>1924</v>
      </c>
      <c r="H76" s="364">
        <f t="shared" si="41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39"/>
        <v>-176.20199999999988</v>
      </c>
      <c r="G77" s="363">
        <f t="shared" si="40"/>
        <v>4063.752</v>
      </c>
      <c r="H77" s="364">
        <f t="shared" si="41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39"/>
        <v>-51.239999999999952</v>
      </c>
      <c r="G78" s="363">
        <f t="shared" si="40"/>
        <v>2283.9899999999998</v>
      </c>
      <c r="H78" s="364">
        <f t="shared" si="41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39"/>
        <v>-146.2399999999999</v>
      </c>
      <c r="G79" s="363">
        <f t="shared" si="40"/>
        <v>2283.9899999999998</v>
      </c>
      <c r="H79" s="364">
        <f t="shared" si="41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39"/>
        <v>-159.23999999999978</v>
      </c>
      <c r="G80" s="363">
        <f t="shared" si="40"/>
        <v>4352.74</v>
      </c>
      <c r="H80" s="364">
        <f t="shared" si="41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39"/>
        <v>-37.790000000000035</v>
      </c>
      <c r="G81" s="363">
        <f t="shared" si="40"/>
        <v>2188.04</v>
      </c>
      <c r="H81" s="364">
        <f t="shared" si="41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39"/>
        <v>-137.54000000000025</v>
      </c>
      <c r="G82" s="363">
        <f t="shared" si="40"/>
        <v>2188.04</v>
      </c>
      <c r="H82" s="364">
        <f t="shared" si="41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39"/>
        <v>-167.54249999999934</v>
      </c>
      <c r="G83" s="363">
        <f t="shared" si="40"/>
        <v>6112.0424999999996</v>
      </c>
      <c r="H83" s="364">
        <f t="shared" si="41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42">C84*(E84-D84)</f>
        <v>-58.042499999999819</v>
      </c>
      <c r="G84" s="363">
        <f t="shared" ref="G84:G96" si="43">D84*C84</f>
        <v>6112.0424999999996</v>
      </c>
      <c r="H84" s="364">
        <f t="shared" ref="H84:H96" si="44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42"/>
        <v>195.77249999999998</v>
      </c>
      <c r="G85" s="363">
        <f t="shared" si="43"/>
        <v>4432.4775</v>
      </c>
      <c r="H85" s="364">
        <f t="shared" si="44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42"/>
        <v>38.472500000000025</v>
      </c>
      <c r="G86" s="363">
        <f t="shared" si="43"/>
        <v>4432.4775</v>
      </c>
      <c r="H86" s="364">
        <f t="shared" si="44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42"/>
        <v>466.37249999999932</v>
      </c>
      <c r="G87" s="363">
        <f t="shared" si="43"/>
        <v>4432.4775</v>
      </c>
      <c r="H87" s="364">
        <f t="shared" si="44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42"/>
        <v>536.22249999999985</v>
      </c>
      <c r="G88" s="363">
        <f t="shared" si="43"/>
        <v>4432.4775</v>
      </c>
      <c r="H88" s="364">
        <f t="shared" si="44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42"/>
        <v>640.51000000000045</v>
      </c>
      <c r="G89" s="363">
        <f t="shared" si="43"/>
        <v>3972.49</v>
      </c>
      <c r="H89" s="364">
        <f t="shared" si="44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42"/>
        <v>547.01000000000022</v>
      </c>
      <c r="G90" s="363">
        <f t="shared" si="43"/>
        <v>3972.49</v>
      </c>
      <c r="H90" s="364">
        <f t="shared" si="44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42"/>
        <v>505.01000000000005</v>
      </c>
      <c r="G91" s="363">
        <f t="shared" si="43"/>
        <v>3972.49</v>
      </c>
      <c r="H91" s="364">
        <f t="shared" si="44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42"/>
        <v>400.50999999999988</v>
      </c>
      <c r="G92" s="363">
        <f t="shared" si="43"/>
        <v>3972.49</v>
      </c>
      <c r="H92" s="364">
        <f t="shared" si="44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42"/>
        <v>504.01000000000022</v>
      </c>
      <c r="G93" s="363">
        <f t="shared" si="43"/>
        <v>3972.49</v>
      </c>
      <c r="H93" s="364">
        <f t="shared" si="44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42"/>
        <v>470.51000000000016</v>
      </c>
      <c r="G94" s="363">
        <f t="shared" si="43"/>
        <v>3972.49</v>
      </c>
      <c r="H94" s="364">
        <f t="shared" si="44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42"/>
        <v>500.50999999999988</v>
      </c>
      <c r="G95" s="363">
        <f t="shared" si="43"/>
        <v>3972.49</v>
      </c>
      <c r="H95" s="364">
        <f t="shared" si="44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42"/>
        <v>413.46899999999977</v>
      </c>
      <c r="G96" s="363">
        <f t="shared" si="43"/>
        <v>2218.1310000000003</v>
      </c>
      <c r="H96" s="364">
        <f t="shared" si="44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45">C100*(E100-D100)</f>
        <v>42.500000000000071</v>
      </c>
      <c r="G100" s="363">
        <f t="shared" ref="G100:G116" si="46">D100*C100</f>
        <v>1973.75</v>
      </c>
      <c r="H100" s="364">
        <f t="shared" ref="H100:H116" si="47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45"/>
        <v>30.750000000000099</v>
      </c>
      <c r="G101" s="363">
        <f t="shared" si="46"/>
        <v>1973.75</v>
      </c>
      <c r="H101" s="364">
        <f t="shared" si="47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45"/>
        <v>75.750000000000028</v>
      </c>
      <c r="G102" s="363">
        <f t="shared" si="46"/>
        <v>1973.75</v>
      </c>
      <c r="H102" s="364">
        <f t="shared" si="47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45"/>
        <v>53.749999999999787</v>
      </c>
      <c r="G103" s="363">
        <f t="shared" si="46"/>
        <v>1973.75</v>
      </c>
      <c r="H103" s="364">
        <f t="shared" si="47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45"/>
        <v>88.250000000000028</v>
      </c>
      <c r="G104" s="363">
        <f t="shared" si="46"/>
        <v>1973.75</v>
      </c>
      <c r="H104" s="364">
        <f t="shared" si="47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45"/>
        <v>70.499999999999829</v>
      </c>
      <c r="G105" s="363">
        <f t="shared" si="46"/>
        <v>1973.75</v>
      </c>
      <c r="H105" s="364">
        <f t="shared" si="47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45"/>
        <v>-51.249999999999929</v>
      </c>
      <c r="G106" s="363">
        <f t="shared" si="46"/>
        <v>1973.75</v>
      </c>
      <c r="H106" s="364">
        <f t="shared" si="47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45"/>
        <v>-29.500000000000171</v>
      </c>
      <c r="G107" s="363">
        <f t="shared" si="46"/>
        <v>1973.75</v>
      </c>
      <c r="H107" s="364">
        <f t="shared" si="47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45"/>
        <v>-85.750000000000171</v>
      </c>
      <c r="G108" s="363">
        <f t="shared" si="46"/>
        <v>1973.75</v>
      </c>
      <c r="H108" s="364">
        <f t="shared" si="47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45"/>
        <v>-42.000000000000171</v>
      </c>
      <c r="G109" s="363">
        <f t="shared" si="46"/>
        <v>1973.75</v>
      </c>
      <c r="H109" s="364">
        <f t="shared" si="47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45"/>
        <v>0.49999999999990052</v>
      </c>
      <c r="G110" s="363">
        <f t="shared" si="46"/>
        <v>1973.75</v>
      </c>
      <c r="H110" s="364">
        <f t="shared" si="47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45"/>
        <v>-4.9500000000001876</v>
      </c>
      <c r="G111" s="363">
        <f t="shared" si="46"/>
        <v>4202</v>
      </c>
      <c r="H111" s="364">
        <f t="shared" si="47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45"/>
        <v>-102.99849999999971</v>
      </c>
      <c r="G112" s="363">
        <f t="shared" si="46"/>
        <v>4202.1484999999993</v>
      </c>
      <c r="H112" s="364">
        <f t="shared" si="47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45"/>
        <v>-37.548499999999834</v>
      </c>
      <c r="G113" s="363">
        <f t="shared" si="46"/>
        <v>4202.1484999999993</v>
      </c>
      <c r="H113" s="364">
        <f t="shared" si="47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45"/>
        <v>77.951499999999854</v>
      </c>
      <c r="G114" s="363">
        <f t="shared" si="46"/>
        <v>4202.1484999999993</v>
      </c>
      <c r="H114" s="364">
        <f t="shared" si="47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45"/>
        <v>214.71000000000032</v>
      </c>
      <c r="G115" s="363">
        <f t="shared" si="46"/>
        <v>2228.19</v>
      </c>
      <c r="H115" s="364">
        <f t="shared" si="47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45"/>
        <v>173.90999999999991</v>
      </c>
      <c r="G116" s="363">
        <f t="shared" si="46"/>
        <v>2228.19</v>
      </c>
      <c r="H116" s="364">
        <f t="shared" si="47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48">C120*(E120-D120)</f>
        <v>86.700000000000017</v>
      </c>
      <c r="G120" s="39">
        <f t="shared" ref="G120:G150" si="49">D120*C120</f>
        <v>2454.3000000000002</v>
      </c>
      <c r="H120" s="222">
        <f t="shared" ref="H120:H150" si="50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48"/>
        <v>-15.500000000000114</v>
      </c>
      <c r="G121" s="39">
        <f t="shared" si="49"/>
        <v>4054.5</v>
      </c>
      <c r="H121" s="222">
        <f t="shared" si="50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48"/>
        <v>25.449999999999875</v>
      </c>
      <c r="G122" s="39">
        <f t="shared" si="49"/>
        <v>1606.55</v>
      </c>
      <c r="H122" s="222">
        <f t="shared" si="50"/>
        <v>1.5841399271731272E-2</v>
      </c>
      <c r="I122" s="10"/>
      <c r="J122" s="10"/>
    </row>
    <row r="123" spans="1:10" x14ac:dyDescent="0.25">
      <c r="A123" t="s">
        <v>342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48"/>
        <v>5.5499999999994998</v>
      </c>
      <c r="G123" s="39">
        <f t="shared" si="49"/>
        <v>4032.9500000000003</v>
      </c>
      <c r="H123" s="222">
        <f t="shared" si="50"/>
        <v>1.3761638502831674E-3</v>
      </c>
      <c r="I123" s="10"/>
      <c r="J123" s="10"/>
    </row>
    <row r="124" spans="1:10" x14ac:dyDescent="0.25">
      <c r="A124" t="s">
        <v>342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48"/>
        <v>116.0499999999999</v>
      </c>
      <c r="G124" s="39">
        <f t="shared" si="49"/>
        <v>4032.9500000000003</v>
      </c>
      <c r="H124" s="222">
        <f t="shared" si="50"/>
        <v>2.8775462130698346E-2</v>
      </c>
      <c r="I124" s="10"/>
      <c r="J124" s="10"/>
    </row>
    <row r="125" spans="1:10" x14ac:dyDescent="0.25">
      <c r="A125" t="s">
        <v>379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48"/>
        <v>-132.6975000000001</v>
      </c>
      <c r="G125" s="39">
        <f t="shared" si="49"/>
        <v>5957.9475000000002</v>
      </c>
      <c r="H125" s="222">
        <f t="shared" si="50"/>
        <v>-2.2272351342471561E-2</v>
      </c>
      <c r="I125" s="10"/>
      <c r="J125" s="10"/>
    </row>
    <row r="126" spans="1:10" x14ac:dyDescent="0.25">
      <c r="A126" t="s">
        <v>338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48"/>
        <v>-433.19999999999936</v>
      </c>
      <c r="G126" s="39">
        <f t="shared" si="49"/>
        <v>7839.2</v>
      </c>
      <c r="H126" s="222">
        <f t="shared" si="50"/>
        <v>-5.5260740891927666E-2</v>
      </c>
      <c r="I126" s="10"/>
      <c r="J126" s="10"/>
    </row>
    <row r="127" spans="1:10" x14ac:dyDescent="0.25">
      <c r="A127" t="s">
        <v>402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48"/>
        <v>-672.44999999999959</v>
      </c>
      <c r="G127" s="39">
        <f t="shared" si="49"/>
        <v>9666.2000000000007</v>
      </c>
      <c r="H127" s="222">
        <f t="shared" si="50"/>
        <v>-6.9567151517659423E-2</v>
      </c>
      <c r="I127" s="10"/>
      <c r="J127" s="10"/>
    </row>
    <row r="128" spans="1:10" x14ac:dyDescent="0.25">
      <c r="A128" t="s">
        <v>443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48"/>
        <v>-464.95</v>
      </c>
      <c r="G128" s="39">
        <f t="shared" si="49"/>
        <v>9666.2000000000007</v>
      </c>
      <c r="H128" s="222">
        <f t="shared" si="50"/>
        <v>-4.8100597959901507E-2</v>
      </c>
      <c r="I128" s="10"/>
      <c r="J128" s="10"/>
    </row>
    <row r="129" spans="1:10" x14ac:dyDescent="0.25">
      <c r="A129" t="s">
        <v>464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48"/>
        <v>-2331.2099999999973</v>
      </c>
      <c r="G129" s="39">
        <f t="shared" si="49"/>
        <v>21408.21</v>
      </c>
      <c r="H129" s="222">
        <f t="shared" si="50"/>
        <v>-0.1088932703855202</v>
      </c>
      <c r="I129" s="10"/>
      <c r="J129" s="39"/>
    </row>
    <row r="130" spans="1:10" x14ac:dyDescent="0.25">
      <c r="A130" t="s">
        <v>464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48"/>
        <v>-1931.1900000000023</v>
      </c>
      <c r="G130" s="39">
        <f t="shared" si="49"/>
        <v>21395.190000000002</v>
      </c>
      <c r="H130" s="222">
        <f t="shared" si="50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48"/>
        <v>-1715.1900000000026</v>
      </c>
      <c r="G131" s="39">
        <f t="shared" si="49"/>
        <v>21395.190000000002</v>
      </c>
      <c r="H131" s="222">
        <f t="shared" si="50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48"/>
        <v>-433.36000000000183</v>
      </c>
      <c r="G132" s="39">
        <f t="shared" si="49"/>
        <v>14437.36</v>
      </c>
      <c r="H132" s="222">
        <f t="shared" si="50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48"/>
        <v>-406.13999999999851</v>
      </c>
      <c r="G133" s="39">
        <f t="shared" si="49"/>
        <v>12622.89</v>
      </c>
      <c r="H133" s="222">
        <f t="shared" si="50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48"/>
        <v>-753.90000000000157</v>
      </c>
      <c r="G134" s="39">
        <f t="shared" si="49"/>
        <v>14319.900000000001</v>
      </c>
      <c r="H134" s="222">
        <f t="shared" si="50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48"/>
        <v>-647.90000000000134</v>
      </c>
      <c r="G135" s="39">
        <f t="shared" si="49"/>
        <v>14319.900000000001</v>
      </c>
      <c r="H135" s="222">
        <f t="shared" si="50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48"/>
        <v>-387.90000000000191</v>
      </c>
      <c r="G136" s="39">
        <f t="shared" si="49"/>
        <v>14319.900000000001</v>
      </c>
      <c r="H136" s="222">
        <f t="shared" si="50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48"/>
        <v>-1317.9999999999977</v>
      </c>
      <c r="G137" s="39">
        <f t="shared" si="49"/>
        <v>14319.999999999998</v>
      </c>
      <c r="H137" s="222">
        <f t="shared" si="50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48"/>
        <v>-1793.9999999999991</v>
      </c>
      <c r="G138" s="39">
        <f t="shared" si="49"/>
        <v>20706</v>
      </c>
      <c r="H138" s="222">
        <f t="shared" si="50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48"/>
        <v>-2171.6799999999994</v>
      </c>
      <c r="G139" s="39">
        <f t="shared" si="49"/>
        <v>23759.68</v>
      </c>
      <c r="H139" s="222">
        <f t="shared" si="50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48"/>
        <v>-5398.6800000000021</v>
      </c>
      <c r="G140" s="39">
        <f t="shared" si="49"/>
        <v>26362.68</v>
      </c>
      <c r="H140" s="222">
        <f t="shared" si="50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48"/>
        <v>-3573.2549999999997</v>
      </c>
      <c r="G141" s="39">
        <f t="shared" si="49"/>
        <v>23512.755000000001</v>
      </c>
      <c r="H141" s="222">
        <f t="shared" si="50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48"/>
        <v>-1277.4999999999982</v>
      </c>
      <c r="G142" s="39">
        <f t="shared" si="49"/>
        <v>17087.5</v>
      </c>
      <c r="H142" s="222">
        <f t="shared" si="50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48"/>
        <v>-2386.8899999999976</v>
      </c>
      <c r="G143" s="39">
        <f t="shared" si="49"/>
        <v>20050.89</v>
      </c>
      <c r="H143" s="222">
        <f t="shared" si="50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48"/>
        <v>-3362.4150000000009</v>
      </c>
      <c r="G144" s="39">
        <f t="shared" si="49"/>
        <v>22839.915000000001</v>
      </c>
      <c r="H144" s="222">
        <f t="shared" si="50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48"/>
        <v>-790.99999999999932</v>
      </c>
      <c r="G145" s="39">
        <f t="shared" si="49"/>
        <v>22729</v>
      </c>
      <c r="H145" s="222">
        <f t="shared" si="50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48"/>
        <v>-712.59999999999798</v>
      </c>
      <c r="G146" s="39">
        <f t="shared" si="49"/>
        <v>22650.6</v>
      </c>
      <c r="H146" s="222">
        <f t="shared" si="50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48"/>
        <v>-124.59999999999809</v>
      </c>
      <c r="G147" s="39">
        <f t="shared" si="49"/>
        <v>22650.6</v>
      </c>
      <c r="H147" s="222">
        <f t="shared" si="50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48"/>
        <v>196.21999999999957</v>
      </c>
      <c r="G148" s="39">
        <f t="shared" si="49"/>
        <v>12843.78</v>
      </c>
      <c r="H148" s="222">
        <f t="shared" si="50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48"/>
        <v>457.99999999999983</v>
      </c>
      <c r="G149" s="39">
        <f t="shared" si="49"/>
        <v>6166</v>
      </c>
      <c r="H149" s="222">
        <f t="shared" si="50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48"/>
        <v>283.05999999999898</v>
      </c>
      <c r="G150" s="39">
        <f t="shared" si="49"/>
        <v>12698.94</v>
      </c>
      <c r="H150" s="222">
        <f t="shared" si="50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213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51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52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51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52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51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52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51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52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51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52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51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52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53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54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53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54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53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54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53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54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53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54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53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54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53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54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53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54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53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54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53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53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53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53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53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53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53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506" priority="64">
      <formula>N23&gt;0</formula>
    </cfRule>
    <cfRule type="expression" dxfId="2505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504" priority="58">
      <formula>F79&gt;0</formula>
    </cfRule>
    <cfRule type="expression" dxfId="2503" priority="59">
      <formula>F79&lt;0</formula>
    </cfRule>
  </conditionalFormatting>
  <conditionalFormatting sqref="H79:H97 H101:H118">
    <cfRule type="expression" dxfId="2502" priority="56">
      <formula>H79&gt;0</formula>
    </cfRule>
    <cfRule type="expression" dxfId="2501" priority="57">
      <formula>H79&lt;0</formula>
    </cfRule>
  </conditionalFormatting>
  <conditionalFormatting sqref="I75:I97 I100:I118">
    <cfRule type="expression" dxfId="2500" priority="54">
      <formula>I75&gt;0</formula>
    </cfRule>
    <cfRule type="expression" dxfId="2499" priority="55">
      <formula>I75&lt;0</formula>
    </cfRule>
  </conditionalFormatting>
  <conditionalFormatting sqref="Q7">
    <cfRule type="expression" dxfId="2498" priority="52">
      <formula>Q7&gt;0</formula>
    </cfRule>
    <cfRule type="expression" dxfId="2497" priority="53">
      <formula>Q7&lt;0</formula>
    </cfRule>
  </conditionalFormatting>
  <conditionalFormatting sqref="Q8">
    <cfRule type="expression" dxfId="2496" priority="50">
      <formula>Q8&gt;0</formula>
    </cfRule>
    <cfRule type="expression" dxfId="2495" priority="51">
      <formula>Q8&lt;0</formula>
    </cfRule>
  </conditionalFormatting>
  <conditionalFormatting sqref="F75:F78">
    <cfRule type="expression" dxfId="2494" priority="48">
      <formula>F75&gt;0</formula>
    </cfRule>
    <cfRule type="expression" dxfId="2493" priority="49">
      <formula>F75&lt;0</formula>
    </cfRule>
  </conditionalFormatting>
  <conditionalFormatting sqref="H75:H78">
    <cfRule type="expression" dxfId="2492" priority="46">
      <formula>H75&gt;0</formula>
    </cfRule>
    <cfRule type="expression" dxfId="2491" priority="47">
      <formula>H75&lt;0</formula>
    </cfRule>
  </conditionalFormatting>
  <conditionalFormatting sqref="F100:F114">
    <cfRule type="expression" dxfId="2490" priority="40">
      <formula>F100&gt;0</formula>
    </cfRule>
    <cfRule type="expression" dxfId="2489" priority="41">
      <formula>F100&lt;0</formula>
    </cfRule>
  </conditionalFormatting>
  <conditionalFormatting sqref="H100:H114">
    <cfRule type="expression" dxfId="2488" priority="38">
      <formula>H100&gt;0</formula>
    </cfRule>
    <cfRule type="expression" dxfId="2487" priority="39">
      <formula>H100&lt;0</formula>
    </cfRule>
  </conditionalFormatting>
  <conditionalFormatting sqref="F29:F67">
    <cfRule type="expression" dxfId="2486" priority="36">
      <formula>F29&gt;0</formula>
    </cfRule>
    <cfRule type="expression" dxfId="2485" priority="37">
      <formula>F29&lt;0</formula>
    </cfRule>
  </conditionalFormatting>
  <conditionalFormatting sqref="H29:H63">
    <cfRule type="expression" dxfId="2484" priority="34">
      <formula>H29&gt;0</formula>
    </cfRule>
    <cfRule type="expression" dxfId="2483" priority="35">
      <formula>H29&lt;0</formula>
    </cfRule>
  </conditionalFormatting>
  <conditionalFormatting sqref="J38:J68">
    <cfRule type="expression" dxfId="2482" priority="32">
      <formula>J38&gt;0</formula>
    </cfRule>
    <cfRule type="expression" dxfId="2481" priority="33">
      <formula>J38&lt;0</formula>
    </cfRule>
  </conditionalFormatting>
  <conditionalFormatting sqref="J43">
    <cfRule type="expression" dxfId="2480" priority="30">
      <formula>J43&gt;0</formula>
    </cfRule>
    <cfRule type="expression" dxfId="2479" priority="31">
      <formula>J43&lt;0</formula>
    </cfRule>
  </conditionalFormatting>
  <conditionalFormatting sqref="Q9">
    <cfRule type="expression" dxfId="2478" priority="24">
      <formula>Q9&gt;0</formula>
    </cfRule>
    <cfRule type="expression" dxfId="2477" priority="25">
      <formula>Q9&lt;0</formula>
    </cfRule>
  </conditionalFormatting>
  <conditionalFormatting sqref="R4">
    <cfRule type="expression" dxfId="2476" priority="26">
      <formula>R4&gt;0</formula>
    </cfRule>
    <cfRule type="expression" dxfId="2475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474" priority="21">
      <formula>F120&gt;0</formula>
    </cfRule>
    <cfRule type="expression" dxfId="2473" priority="22">
      <formula>F120&lt;0</formula>
    </cfRule>
  </conditionalFormatting>
  <conditionalFormatting sqref="H120:H160">
    <cfRule type="expression" dxfId="2472" priority="19">
      <formula>H120&gt;0</formula>
    </cfRule>
    <cfRule type="expression" dxfId="2471" priority="20">
      <formula>H120&lt;0</formula>
    </cfRule>
  </conditionalFormatting>
  <conditionalFormatting sqref="J129:J160">
    <cfRule type="expression" dxfId="2470" priority="17">
      <formula>J129&gt;0</formula>
    </cfRule>
    <cfRule type="expression" dxfId="2469" priority="18">
      <formula>J129&lt;0</formula>
    </cfRule>
  </conditionalFormatting>
  <conditionalFormatting sqref="J134">
    <cfRule type="expression" dxfId="2468" priority="15">
      <formula>J134&gt;0</formula>
    </cfRule>
    <cfRule type="expression" dxfId="2467" priority="16">
      <formula>J134&lt;0</formula>
    </cfRule>
  </conditionalFormatting>
  <conditionalFormatting sqref="J31:J40">
    <cfRule type="expression" dxfId="2466" priority="13">
      <formula>J31&gt;0</formula>
    </cfRule>
    <cfRule type="expression" dxfId="2465" priority="14">
      <formula>J31&lt;0</formula>
    </cfRule>
  </conditionalFormatting>
  <conditionalFormatting sqref="J36:J37">
    <cfRule type="expression" dxfId="2464" priority="11">
      <formula>J36&gt;0</formula>
    </cfRule>
    <cfRule type="expression" dxfId="2463" priority="12">
      <formula>J36&lt;0</formula>
    </cfRule>
  </conditionalFormatting>
  <conditionalFormatting sqref="Q10">
    <cfRule type="expression" dxfId="2462" priority="9">
      <formula>Q10&gt;0</formula>
    </cfRule>
    <cfRule type="expression" dxfId="2461" priority="10">
      <formula>Q10&lt;0</formula>
    </cfRule>
  </conditionalFormatting>
  <conditionalFormatting sqref="K38:K55 K57:K68">
    <cfRule type="expression" dxfId="2460" priority="7">
      <formula>K38&gt;0</formula>
    </cfRule>
    <cfRule type="expression" dxfId="2459" priority="8">
      <formula>K38&lt;0</formula>
    </cfRule>
  </conditionalFormatting>
  <conditionalFormatting sqref="K43">
    <cfRule type="expression" dxfId="2458" priority="5">
      <formula>K43&gt;0</formula>
    </cfRule>
    <cfRule type="expression" dxfId="2457" priority="6">
      <formula>K43&lt;0</formula>
    </cfRule>
  </conditionalFormatting>
  <conditionalFormatting sqref="K31:K40">
    <cfRule type="expression" dxfId="2456" priority="3">
      <formula>K31&gt;0</formula>
    </cfRule>
    <cfRule type="expression" dxfId="2455" priority="4">
      <formula>K31&lt;0</formula>
    </cfRule>
  </conditionalFormatting>
  <conditionalFormatting sqref="K36:K37">
    <cfRule type="expression" dxfId="2454" priority="1">
      <formula>K36&gt;0</formula>
    </cfRule>
    <cfRule type="expression" dxfId="2453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190.58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5"/>
      <c r="AN3" s="225"/>
    </row>
    <row r="4" spans="1:40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190.58</v>
      </c>
      <c r="R4" s="490">
        <v>1.3899999999999999E-2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151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207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2">
        <f t="shared" ref="H25:H34" si="4">(E25-D25)/D25</f>
        <v>-1.238225799318918E-3</v>
      </c>
      <c r="I25" s="222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2">
        <f t="shared" si="4"/>
        <v>3.7898553929155768E-2</v>
      </c>
      <c r="I26" s="222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2">
        <f t="shared" si="4"/>
        <v>0.10135762614425338</v>
      </c>
      <c r="I27" s="223" t="s">
        <v>212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2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2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2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2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2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2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2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2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2">
        <f t="shared" si="7"/>
        <v>0.14518090256269062</v>
      </c>
      <c r="I36" s="227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2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2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2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2">
        <f t="shared" si="7"/>
        <v>0.11661734003257848</v>
      </c>
      <c r="I40" s="39"/>
      <c r="T40" s="135" t="s">
        <v>97</v>
      </c>
      <c r="U40" s="35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2">
        <f t="shared" si="7"/>
        <v>0.44132995377963341</v>
      </c>
      <c r="I41" s="39" t="s">
        <v>249</v>
      </c>
      <c r="T41" s="106" t="s">
        <v>98</v>
      </c>
      <c r="U41" s="352">
        <v>144.63999999999999</v>
      </c>
      <c r="W41" s="130">
        <v>42775</v>
      </c>
      <c r="X41" s="10" t="s">
        <v>205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51" t="s">
        <v>78</v>
      </c>
      <c r="P42" s="851"/>
      <c r="T42" s="106" t="s">
        <v>99</v>
      </c>
      <c r="U42" s="352" t="s">
        <v>562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209.63800000000003</v>
      </c>
      <c r="Q43" s="2"/>
      <c r="T43" s="106" t="s">
        <v>100</v>
      </c>
      <c r="U43" s="352" t="s">
        <v>563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8">O44*$Q$4</f>
        <v>207.73220000000003</v>
      </c>
      <c r="Q44" s="2"/>
      <c r="T44" s="106" t="s">
        <v>101</v>
      </c>
      <c r="U44" s="35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8"/>
        <v>205.82640000000004</v>
      </c>
      <c r="Q45" s="2"/>
      <c r="T45" s="106" t="s">
        <v>102</v>
      </c>
      <c r="U45" s="35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8"/>
        <v>203.92060000000004</v>
      </c>
      <c r="Q46" s="2"/>
      <c r="T46" s="106" t="s">
        <v>121</v>
      </c>
      <c r="U46" s="352" t="s">
        <v>386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8"/>
        <v>202.01480000000004</v>
      </c>
      <c r="Q47" s="2"/>
      <c r="T47" s="106"/>
      <c r="U47" s="35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200.10900000000001</v>
      </c>
      <c r="Q48" s="2"/>
      <c r="T48" s="106" t="s">
        <v>104</v>
      </c>
      <c r="U48" s="352" t="s">
        <v>564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198.20320000000001</v>
      </c>
      <c r="Q49" s="2"/>
      <c r="T49" s="106" t="s">
        <v>105</v>
      </c>
      <c r="U49" s="352" t="s">
        <v>565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196.29740000000001</v>
      </c>
      <c r="Q50" s="2"/>
      <c r="T50" s="106" t="s">
        <v>106</v>
      </c>
      <c r="U50" s="35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194.39160000000001</v>
      </c>
      <c r="Q51" s="2"/>
      <c r="T51" s="106" t="s">
        <v>109</v>
      </c>
      <c r="U51" s="35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192.48580000000001</v>
      </c>
      <c r="Q52" s="2"/>
      <c r="T52" s="106" t="s">
        <v>107</v>
      </c>
      <c r="U52" s="352" t="s">
        <v>566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190.58</v>
      </c>
      <c r="Q53" s="2"/>
      <c r="T53" s="106" t="s">
        <v>110</v>
      </c>
      <c r="U53" s="35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188.67420000000001</v>
      </c>
      <c r="Q54" s="2"/>
      <c r="T54" s="106" t="s">
        <v>111</v>
      </c>
      <c r="U54" s="35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186.76840000000001</v>
      </c>
      <c r="Q55" s="2"/>
      <c r="T55" s="106" t="s">
        <v>108</v>
      </c>
      <c r="U55" s="352" t="s">
        <v>528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8"/>
        <v>184.86260000000001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4" t="s">
        <v>202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8"/>
        <v>182.95680000000002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8"/>
        <v>181.05100000000002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8"/>
        <v>179.14519999999999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8"/>
        <v>177.23940000000002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8"/>
        <v>175.33360000000002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8"/>
        <v>173.42780000000002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8"/>
        <v>171.52200000000002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  <c r="W69" s="273" t="s">
        <v>120</v>
      </c>
      <c r="AB69" s="226"/>
    </row>
    <row r="70" spans="1:31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452" priority="35">
      <formula>N19&gt;0</formula>
    </cfRule>
    <cfRule type="expression" dxfId="2451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450" priority="21">
      <formula>F25&gt;0</formula>
    </cfRule>
    <cfRule type="expression" dxfId="2449" priority="22">
      <formula>F25&lt;0</formula>
    </cfRule>
  </conditionalFormatting>
  <conditionalFormatting sqref="H25:H47">
    <cfRule type="expression" dxfId="2448" priority="19">
      <formula>H25&gt;0</formula>
    </cfRule>
    <cfRule type="expression" dxfId="2447" priority="20">
      <formula>H25&lt;0</formula>
    </cfRule>
  </conditionalFormatting>
  <conditionalFormatting sqref="I25:I27">
    <cfRule type="expression" dxfId="2446" priority="15">
      <formula>I25&gt;0</formula>
    </cfRule>
    <cfRule type="expression" dxfId="2445" priority="16">
      <formula>I25&lt;0</formula>
    </cfRule>
  </conditionalFormatting>
  <conditionalFormatting sqref="Q7">
    <cfRule type="expression" dxfId="2444" priority="5">
      <formula>Q7&gt;0</formula>
    </cfRule>
    <cfRule type="expression" dxfId="2443" priority="6">
      <formula>Q7&lt;0</formula>
    </cfRule>
  </conditionalFormatting>
  <conditionalFormatting sqref="Q8">
    <cfRule type="expression" dxfId="2442" priority="3">
      <formula>Q8&gt;0</formula>
    </cfRule>
    <cfRule type="expression" dxfId="2441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244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99.91</v>
      </c>
      <c r="T3" s="1">
        <v>42572</v>
      </c>
      <c r="U3" t="s">
        <v>235</v>
      </c>
      <c r="W3" s="130">
        <v>42830</v>
      </c>
      <c r="X3" s="10" t="s">
        <v>291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99.91</v>
      </c>
      <c r="R4" s="475">
        <v>1.4200000000000001E-2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208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207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243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1" t="s">
        <v>78</v>
      </c>
      <c r="P40" s="851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109.90100000000001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108.9019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107.9028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106.9037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105.9046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104.9055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103.9064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102.90729999999999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101.90819999999999</v>
      </c>
      <c r="Q49" s="2"/>
      <c r="T49" s="91" t="s">
        <v>103</v>
      </c>
      <c r="U49" s="127" t="s">
        <v>511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224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100.9091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99.91</v>
      </c>
      <c r="Q51" s="2"/>
      <c r="T51" s="91" t="s">
        <v>104</v>
      </c>
      <c r="U51" s="127" t="s">
        <v>567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98.910899999999998</v>
      </c>
      <c r="Q52" s="2"/>
      <c r="T52" s="91" t="s">
        <v>105</v>
      </c>
      <c r="U52" s="127" t="s">
        <v>469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97.911799999999999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96.912700000000001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95.913599999999988</v>
      </c>
      <c r="T55" s="91" t="s">
        <v>107</v>
      </c>
      <c r="U55" s="127" t="s">
        <v>568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94.91449999999999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93.915399999999991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92.916300000000007</v>
      </c>
      <c r="T58" s="91" t="s">
        <v>108</v>
      </c>
      <c r="U58" s="127" t="s">
        <v>535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91.917199999999994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90.918099999999995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89.918999999999997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291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440" priority="9">
      <formula>F36&gt;0</formula>
    </cfRule>
    <cfRule type="expression" dxfId="2439" priority="10">
      <formula>F36&lt;0</formula>
    </cfRule>
  </conditionalFormatting>
  <conditionalFormatting sqref="F25:F35">
    <cfRule type="expression" dxfId="2438" priority="7">
      <formula>F25&gt;0</formula>
    </cfRule>
    <cfRule type="expression" dxfId="2437" priority="8">
      <formula>F25&lt;0</formula>
    </cfRule>
  </conditionalFormatting>
  <conditionalFormatting sqref="H25:H35">
    <cfRule type="expression" dxfId="2436" priority="5">
      <formula>H25&gt;0</formula>
    </cfRule>
    <cfRule type="expression" dxfId="2435" priority="6">
      <formula>H25&lt;0</formula>
    </cfRule>
  </conditionalFormatting>
  <conditionalFormatting sqref="Q7">
    <cfRule type="expression" dxfId="2434" priority="3">
      <formula>Q7&gt;0</formula>
    </cfRule>
    <cfRule type="expression" dxfId="2433" priority="4">
      <formula>Q7&lt;0</formula>
    </cfRule>
  </conditionalFormatting>
  <conditionalFormatting sqref="Q8">
    <cfRule type="expression" dxfId="2432" priority="1">
      <formula>Q8&gt;0</formula>
    </cfRule>
    <cfRule type="expression" dxfId="2431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98.39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98.39</v>
      </c>
      <c r="R4" s="495">
        <v>-2.5999999999999999E-3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V9" s="134"/>
    </row>
    <row r="10" spans="1:22" x14ac:dyDescent="0.25">
      <c r="H10" s="70"/>
      <c r="O10" s="11" t="s">
        <v>207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696</v>
      </c>
      <c r="P20" s="7" t="s">
        <v>697</v>
      </c>
      <c r="Q20" s="7" t="s">
        <v>698</v>
      </c>
      <c r="R20" s="7"/>
      <c r="V20" s="134"/>
    </row>
    <row r="21" spans="1:22" x14ac:dyDescent="0.25">
      <c r="O21" s="7" t="s">
        <v>699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700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701</v>
      </c>
      <c r="P23" s="7" t="s">
        <v>702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669</v>
      </c>
      <c r="L24" s="220" t="s">
        <v>675</v>
      </c>
      <c r="O24" s="7" t="s">
        <v>684</v>
      </c>
      <c r="P24" s="7" t="s">
        <v>703</v>
      </c>
      <c r="Q24" s="7" t="s">
        <v>703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2">
        <f t="shared" ref="H25" si="2">(E25-D25)/D25</f>
        <v>6.062276109120939E-3</v>
      </c>
      <c r="I25" s="39"/>
      <c r="J25" s="39"/>
      <c r="K25" s="39"/>
      <c r="L25" s="39"/>
      <c r="O25" s="7" t="s">
        <v>701</v>
      </c>
      <c r="P25" s="7" t="s">
        <v>704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2">
        <f t="shared" ref="H26" si="5">(E26-D26)/D26</f>
        <v>1.0608983190961643E-2</v>
      </c>
      <c r="I26" s="39"/>
      <c r="J26" s="39"/>
      <c r="K26" s="39"/>
      <c r="L26" s="39"/>
      <c r="O26" s="7" t="s">
        <v>705</v>
      </c>
      <c r="P26" s="7" t="s">
        <v>697</v>
      </c>
      <c r="Q26" s="7" t="s">
        <v>698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2">
        <f t="shared" ref="H27" si="8"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2">
        <f t="shared" ref="H28:H35" si="11">(E28-D28)/D28</f>
        <v>-2.3297991071428593E-2</v>
      </c>
      <c r="I28" s="39">
        <v>71.5</v>
      </c>
      <c r="J28" s="39">
        <v>-9</v>
      </c>
      <c r="K28" s="39"/>
      <c r="L28" s="155"/>
      <c r="O28" s="7" t="s">
        <v>700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2">
        <f t="shared" si="11"/>
        <v>1.8202184262110816E-3</v>
      </c>
      <c r="I29" s="39"/>
      <c r="J29" s="39"/>
      <c r="K29" s="39"/>
      <c r="L29" s="155"/>
      <c r="O29" s="7" t="s">
        <v>684</v>
      </c>
      <c r="P29" s="7" t="s">
        <v>703</v>
      </c>
      <c r="Q29" s="7" t="s">
        <v>703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2">
        <f t="shared" si="11"/>
        <v>3.3869920366382984E-2</v>
      </c>
      <c r="I30" s="39"/>
      <c r="J30" s="39">
        <v>277.22000000000003</v>
      </c>
      <c r="K30" s="39"/>
      <c r="L30" s="155"/>
      <c r="O30" s="7" t="s">
        <v>706</v>
      </c>
      <c r="P30" s="7" t="s">
        <v>697</v>
      </c>
      <c r="Q30" s="7" t="s">
        <v>698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2">
        <f t="shared" si="11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2">
        <f t="shared" si="11"/>
        <v>5.5165922994495093E-3</v>
      </c>
      <c r="I32" s="39"/>
      <c r="J32" s="39">
        <v>197.22</v>
      </c>
      <c r="K32" s="39"/>
      <c r="L32" s="155"/>
      <c r="O32" s="7" t="s">
        <v>699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2">
        <f t="shared" si="11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2">
        <f t="shared" si="11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2">
        <f t="shared" si="11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2">
        <f t="shared" ref="H36:H37" si="14"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2">
        <f t="shared" si="14"/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2">
        <f t="shared" ref="H38" si="17"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51" t="s">
        <v>78</v>
      </c>
      <c r="P40" s="851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108.22900000000001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107.24510000000001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106.2612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18"/>
        <v>105.27730000000001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8"/>
        <v>104.29340000000001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8"/>
        <v>103.3095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8"/>
        <v>102.32560000000001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8"/>
        <v>101.3417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8"/>
        <v>100.3578</v>
      </c>
      <c r="Q49" s="2"/>
      <c r="T49" s="91" t="s">
        <v>121</v>
      </c>
      <c r="U49" s="127" t="s">
        <v>504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8"/>
        <v>99.373900000000006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8"/>
        <v>98.39</v>
      </c>
      <c r="Q51" s="2"/>
      <c r="T51" s="91" t="s">
        <v>104</v>
      </c>
      <c r="U51" s="127" t="s">
        <v>569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8"/>
        <v>97.406099999999995</v>
      </c>
      <c r="Q52" s="2"/>
      <c r="T52" s="91" t="s">
        <v>105</v>
      </c>
      <c r="U52" s="127" t="s">
        <v>309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8"/>
        <v>96.422200000000004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8"/>
        <v>95.438299999999998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8"/>
        <v>94.454399999999993</v>
      </c>
      <c r="T55" s="91" t="s">
        <v>107</v>
      </c>
      <c r="U55" s="127" t="s">
        <v>570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8"/>
        <v>93.470500000000001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8"/>
        <v>92.486599999999996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8"/>
        <v>91.502700000000004</v>
      </c>
      <c r="T58" s="91" t="s">
        <v>108</v>
      </c>
      <c r="U58" s="127" t="s">
        <v>536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8"/>
        <v>90.518799999999999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8"/>
        <v>89.534900000000007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8"/>
        <v>88.551000000000002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265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2">
        <f t="shared" ref="H89:H100" si="21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2">
        <f t="shared" si="21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2">
        <f t="shared" si="21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2">
        <f t="shared" si="21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2">
        <f t="shared" si="21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2">
        <f t="shared" si="21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2">
        <f t="shared" si="21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2">
        <f t="shared" si="21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2">
        <f t="shared" si="21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2">
        <f t="shared" si="21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2">
        <f t="shared" si="21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2">
        <f t="shared" si="21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430" priority="37">
      <formula>F25&gt;0</formula>
    </cfRule>
    <cfRule type="expression" dxfId="2429" priority="38">
      <formula>F25&lt;0</formula>
    </cfRule>
  </conditionalFormatting>
  <conditionalFormatting sqref="Q7">
    <cfRule type="expression" dxfId="2428" priority="35">
      <formula>Q7&gt;0</formula>
    </cfRule>
    <cfRule type="expression" dxfId="2427" priority="36">
      <formula>Q7&lt;0</formula>
    </cfRule>
  </conditionalFormatting>
  <conditionalFormatting sqref="Q8">
    <cfRule type="expression" dxfId="2426" priority="33">
      <formula>Q8&gt;0</formula>
    </cfRule>
    <cfRule type="expression" dxfId="2425" priority="34">
      <formula>Q8&lt;0</formula>
    </cfRule>
  </conditionalFormatting>
  <conditionalFormatting sqref="F44:F46">
    <cfRule type="expression" dxfId="2424" priority="31">
      <formula>F44&gt;0</formula>
    </cfRule>
    <cfRule type="expression" dxfId="2423" priority="32">
      <formula>F44&lt;0</formula>
    </cfRule>
  </conditionalFormatting>
  <conditionalFormatting sqref="H44:H46">
    <cfRule type="expression" dxfId="2422" priority="29">
      <formula>H44&gt;0</formula>
    </cfRule>
    <cfRule type="expression" dxfId="2421" priority="30">
      <formula>H44&lt;0</formula>
    </cfRule>
  </conditionalFormatting>
  <conditionalFormatting sqref="F89:F110">
    <cfRule type="expression" dxfId="2420" priority="27">
      <formula>F89&gt;0</formula>
    </cfRule>
    <cfRule type="expression" dxfId="2419" priority="28">
      <formula>F89&lt;0</formula>
    </cfRule>
  </conditionalFormatting>
  <conditionalFormatting sqref="H89:H110">
    <cfRule type="expression" dxfId="2418" priority="25">
      <formula>H89&gt;0</formula>
    </cfRule>
    <cfRule type="expression" dxfId="2417" priority="26">
      <formula>H89&lt;0</formula>
    </cfRule>
  </conditionalFormatting>
  <conditionalFormatting sqref="Q10">
    <cfRule type="expression" dxfId="2416" priority="23">
      <formula>Q10&gt;0</formula>
    </cfRule>
    <cfRule type="expression" dxfId="2415" priority="24">
      <formula>Q10&lt;0</formula>
    </cfRule>
  </conditionalFormatting>
  <conditionalFormatting sqref="J25:J38">
    <cfRule type="expression" dxfId="2414" priority="21">
      <formula>J25&gt;0</formula>
    </cfRule>
    <cfRule type="expression" dxfId="2413" priority="22">
      <formula>J25&lt;0</formula>
    </cfRule>
  </conditionalFormatting>
  <conditionalFormatting sqref="K25:K38">
    <cfRule type="expression" dxfId="2412" priority="19">
      <formula>K25&gt;0</formula>
    </cfRule>
    <cfRule type="expression" dxfId="2411" priority="20">
      <formula>K25&lt;0</formula>
    </cfRule>
  </conditionalFormatting>
  <conditionalFormatting sqref="L25:L38">
    <cfRule type="expression" dxfId="2410" priority="17">
      <formula>L25&gt;0</formula>
    </cfRule>
    <cfRule type="expression" dxfId="2409" priority="18">
      <formula>L25&lt;0</formula>
    </cfRule>
  </conditionalFormatting>
  <conditionalFormatting sqref="J40">
    <cfRule type="expression" dxfId="2408" priority="15">
      <formula>J40&gt;0</formula>
    </cfRule>
    <cfRule type="expression" dxfId="2407" priority="16">
      <formula>J40&lt;0</formula>
    </cfRule>
  </conditionalFormatting>
  <conditionalFormatting sqref="L39">
    <cfRule type="expression" dxfId="2406" priority="11">
      <formula>L39&gt;0</formula>
    </cfRule>
    <cfRule type="expression" dxfId="2405" priority="12">
      <formula>L39&lt;0</formula>
    </cfRule>
  </conditionalFormatting>
  <conditionalFormatting sqref="F39">
    <cfRule type="expression" dxfId="2404" priority="9">
      <formula>F39&gt;0</formula>
    </cfRule>
    <cfRule type="expression" dxfId="2403" priority="10">
      <formula>F39&lt;0</formula>
    </cfRule>
  </conditionalFormatting>
  <conditionalFormatting sqref="H39">
    <cfRule type="expression" dxfId="2402" priority="7">
      <formula>H39&gt;0</formula>
    </cfRule>
    <cfRule type="expression" dxfId="2401" priority="8">
      <formula>H39&lt;0</formula>
    </cfRule>
  </conditionalFormatting>
  <conditionalFormatting sqref="J41">
    <cfRule type="expression" dxfId="2400" priority="5">
      <formula>J41&gt;0</formula>
    </cfRule>
    <cfRule type="expression" dxfId="2399" priority="6">
      <formula>J41&lt;0</formula>
    </cfRule>
  </conditionalFormatting>
  <conditionalFormatting sqref="J43">
    <cfRule type="expression" dxfId="2398" priority="3">
      <formula>J43&gt;0</formula>
    </cfRule>
    <cfRule type="expression" dxfId="2397" priority="4">
      <formula>J43&lt;0</formula>
    </cfRule>
  </conditionalFormatting>
  <conditionalFormatting sqref="J44">
    <cfRule type="expression" dxfId="2396" priority="1">
      <formula>J44&gt;0</formula>
    </cfRule>
    <cfRule type="expression" dxfId="2395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37.69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37.69</v>
      </c>
      <c r="R4" s="475">
        <v>-8.0000000000000004E-4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208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207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207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51" t="s">
        <v>78</v>
      </c>
      <c r="Q39" s="851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41.459000000000003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41.082100000000004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40.705199999999998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40.328299999999999</v>
      </c>
      <c r="R43" s="81"/>
      <c r="T43" s="85" t="s">
        <v>100</v>
      </c>
      <c r="U43" s="127" t="s">
        <v>524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39.9514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39.5745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39.197600000000001</v>
      </c>
      <c r="R46" s="81"/>
      <c r="T46" s="85" t="s">
        <v>121</v>
      </c>
      <c r="U46" s="223" t="s">
        <v>420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38.820700000000002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38.443799999999996</v>
      </c>
      <c r="R48" s="81"/>
      <c r="T48" s="85" t="s">
        <v>104</v>
      </c>
      <c r="U48" s="127" t="s">
        <v>571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38.066899999999997</v>
      </c>
      <c r="R49" s="81"/>
      <c r="T49" s="85" t="s">
        <v>105</v>
      </c>
      <c r="U49" s="127" t="s">
        <v>328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37.69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37.313099999999999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36.936199999999999</v>
      </c>
      <c r="R52" s="81"/>
      <c r="T52" s="85" t="s">
        <v>107</v>
      </c>
      <c r="U52" s="127" t="s">
        <v>572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36.559299999999993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36.182399999999994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35.805499999999995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35.428599999999996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35.051699999999997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34.674799999999998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34.297899999999998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33.920999999999999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394" priority="31">
      <formula>F29&gt;0</formula>
    </cfRule>
    <cfRule type="expression" dxfId="2393" priority="32">
      <formula>F29&lt;0</formula>
    </cfRule>
  </conditionalFormatting>
  <conditionalFormatting sqref="F29 F31:F35">
    <cfRule type="expression" dxfId="2392" priority="33">
      <formula>F29&gt;0</formula>
    </cfRule>
    <cfRule type="expression" dxfId="2391" priority="34">
      <formula>F29&lt;0</formula>
    </cfRule>
  </conditionalFormatting>
  <conditionalFormatting sqref="H29 H31:H35">
    <cfRule type="expression" dxfId="2390" priority="29">
      <formula>H29&gt;0</formula>
    </cfRule>
    <cfRule type="expression" dxfId="2389" priority="30">
      <formula>H29&lt;0</formula>
    </cfRule>
  </conditionalFormatting>
  <conditionalFormatting sqref="F21:F28">
    <cfRule type="expression" dxfId="2388" priority="27">
      <formula>F21&gt;0</formula>
    </cfRule>
    <cfRule type="expression" dxfId="2387" priority="28">
      <formula>F21&lt;0</formula>
    </cfRule>
  </conditionalFormatting>
  <conditionalFormatting sqref="H21:H28">
    <cfRule type="expression" dxfId="2386" priority="25">
      <formula>H21&gt;0</formula>
    </cfRule>
    <cfRule type="expression" dxfId="2385" priority="26">
      <formula>H21&lt;0</formula>
    </cfRule>
  </conditionalFormatting>
  <conditionalFormatting sqref="Q8">
    <cfRule type="expression" dxfId="2384" priority="21">
      <formula>Q8&gt;0</formula>
    </cfRule>
    <cfRule type="expression" dxfId="2383" priority="22">
      <formula>Q8&lt;0</formula>
    </cfRule>
  </conditionalFormatting>
  <conditionalFormatting sqref="Q7">
    <cfRule type="expression" dxfId="2382" priority="23">
      <formula>Q7&gt;0</formula>
    </cfRule>
    <cfRule type="expression" dxfId="2381" priority="24">
      <formula>Q7&lt;0</formula>
    </cfRule>
  </conditionalFormatting>
  <conditionalFormatting sqref="F30">
    <cfRule type="expression" dxfId="2380" priority="19">
      <formula>F30&gt;0</formula>
    </cfRule>
    <cfRule type="expression" dxfId="2379" priority="20">
      <formula>F30&lt;0</formula>
    </cfRule>
  </conditionalFormatting>
  <conditionalFormatting sqref="H30">
    <cfRule type="expression" dxfId="2378" priority="17">
      <formula>H30&gt;0</formula>
    </cfRule>
    <cfRule type="expression" dxfId="2377" priority="18">
      <formula>H30&lt;0</formula>
    </cfRule>
  </conditionalFormatting>
  <conditionalFormatting sqref="F68 F70:F74">
    <cfRule type="expression" dxfId="2376" priority="13">
      <formula>F68&gt;0</formula>
    </cfRule>
    <cfRule type="expression" dxfId="2375" priority="14">
      <formula>F68&lt;0</formula>
    </cfRule>
  </conditionalFormatting>
  <conditionalFormatting sqref="F68 F70:F74">
    <cfRule type="expression" dxfId="2374" priority="15">
      <formula>F68&gt;0</formula>
    </cfRule>
    <cfRule type="expression" dxfId="2373" priority="16">
      <formula>F68&lt;0</formula>
    </cfRule>
  </conditionalFormatting>
  <conditionalFormatting sqref="H68 H70:H74">
    <cfRule type="expression" dxfId="2372" priority="11">
      <formula>H68&gt;0</formula>
    </cfRule>
    <cfRule type="expression" dxfId="2371" priority="12">
      <formula>H68&lt;0</formula>
    </cfRule>
  </conditionalFormatting>
  <conditionalFormatting sqref="F60:F67">
    <cfRule type="expression" dxfId="2370" priority="9">
      <formula>F60&gt;0</formula>
    </cfRule>
    <cfRule type="expression" dxfId="2369" priority="10">
      <formula>F60&lt;0</formula>
    </cfRule>
  </conditionalFormatting>
  <conditionalFormatting sqref="H60:H67">
    <cfRule type="expression" dxfId="2368" priority="7">
      <formula>H60&gt;0</formula>
    </cfRule>
    <cfRule type="expression" dxfId="2367" priority="8">
      <formula>H60&lt;0</formula>
    </cfRule>
  </conditionalFormatting>
  <conditionalFormatting sqref="F69">
    <cfRule type="expression" dxfId="2366" priority="5">
      <formula>F69&gt;0</formula>
    </cfRule>
    <cfRule type="expression" dxfId="2365" priority="6">
      <formula>F69&lt;0</formula>
    </cfRule>
  </conditionalFormatting>
  <conditionalFormatting sqref="H69">
    <cfRule type="expression" dxfId="2364" priority="3">
      <formula>H69&gt;0</formula>
    </cfRule>
    <cfRule type="expression" dxfId="2363" priority="4">
      <formula>H69&lt;0</formula>
    </cfRule>
  </conditionalFormatting>
  <conditionalFormatting sqref="Q10">
    <cfRule type="expression" dxfId="2362" priority="1">
      <formula>Q10&gt;0</formula>
    </cfRule>
    <cfRule type="expression" dxfId="2361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49.56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49.56</v>
      </c>
      <c r="R4" s="475">
        <v>1.29E-2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207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271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284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51" t="s">
        <v>78</v>
      </c>
      <c r="P40" s="851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54.516000000000005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54.020400000000009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53.524800000000006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53.029200000000003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52.533600000000007</v>
      </c>
      <c r="Q45" s="2"/>
      <c r="T45" s="91" t="s">
        <v>99</v>
      </c>
      <c r="U45" s="127" t="s">
        <v>573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266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52.038000000000004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51.542400000000001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51.046800000000005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50.551200000000001</v>
      </c>
      <c r="Q49" s="2"/>
      <c r="T49" s="91" t="s">
        <v>121</v>
      </c>
      <c r="U49" s="127" t="s">
        <v>421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50.055600000000005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49.56</v>
      </c>
      <c r="Q51" s="2"/>
      <c r="T51" s="91" t="s">
        <v>104</v>
      </c>
      <c r="U51" s="127" t="s">
        <v>574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49.064399999999999</v>
      </c>
      <c r="Q52" s="2"/>
      <c r="T52" s="91" t="s">
        <v>105</v>
      </c>
      <c r="U52" s="127" t="s">
        <v>529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48.568800000000003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48.0732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47.577600000000004</v>
      </c>
      <c r="T55" s="91" t="s">
        <v>107</v>
      </c>
      <c r="U55" s="127" t="s">
        <v>575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47.082000000000001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46.586399999999998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46.090800000000002</v>
      </c>
      <c r="T58" s="91" t="s">
        <v>108</v>
      </c>
      <c r="U58" s="127" t="s">
        <v>530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45.595200000000006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45.099600000000002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44.604000000000006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360" priority="11">
      <formula>F33&gt;0</formula>
    </cfRule>
    <cfRule type="expression" dxfId="2359" priority="12">
      <formula>F33&lt;0</formula>
    </cfRule>
  </conditionalFormatting>
  <conditionalFormatting sqref="Q7">
    <cfRule type="expression" dxfId="2358" priority="9">
      <formula>Q7&gt;0</formula>
    </cfRule>
    <cfRule type="expression" dxfId="2357" priority="10">
      <formula>Q7&lt;0</formula>
    </cfRule>
  </conditionalFormatting>
  <conditionalFormatting sqref="Q8">
    <cfRule type="expression" dxfId="2356" priority="7">
      <formula>Q8&gt;0</formula>
    </cfRule>
    <cfRule type="expression" dxfId="2355" priority="8">
      <formula>Q8&lt;0</formula>
    </cfRule>
  </conditionalFormatting>
  <conditionalFormatting sqref="F25:F32">
    <cfRule type="expression" dxfId="2354" priority="5">
      <formula>F25&gt;0</formula>
    </cfRule>
    <cfRule type="expression" dxfId="2353" priority="6">
      <formula>F25&lt;0</formula>
    </cfRule>
  </conditionalFormatting>
  <conditionalFormatting sqref="H25:H32">
    <cfRule type="expression" dxfId="2352" priority="3">
      <formula>H25&gt;0</formula>
    </cfRule>
    <cfRule type="expression" dxfId="2351" priority="4">
      <formula>H25&lt;0</formula>
    </cfRule>
  </conditionalFormatting>
  <conditionalFormatting sqref="Q10">
    <cfRule type="expression" dxfId="2350" priority="1">
      <formula>Q10&gt;0</formula>
    </cfRule>
    <cfRule type="expression" dxfId="2349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325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451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11.74</v>
      </c>
      <c r="T3" s="567" t="s">
        <v>474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11.74</v>
      </c>
      <c r="R4" s="475">
        <v>-7.6E-3</v>
      </c>
      <c r="T4" s="156" t="s">
        <v>475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476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838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208</v>
      </c>
      <c r="Q9" s="222">
        <f>IF(Q2=0, 0, Q8/Q6)</f>
        <v>0</v>
      </c>
      <c r="T9" s="29">
        <v>43103</v>
      </c>
      <c r="U9" t="s">
        <v>830</v>
      </c>
      <c r="AA9" s="2"/>
      <c r="AD9" s="2"/>
      <c r="AG9" s="2"/>
      <c r="AI9" s="2"/>
    </row>
    <row r="10" spans="1:39" x14ac:dyDescent="0.25">
      <c r="A10" t="s">
        <v>782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207</v>
      </c>
      <c r="P10" s="33"/>
      <c r="Q10" s="2">
        <f>M58</f>
        <v>1283.4199999999946</v>
      </c>
      <c r="U10" t="s">
        <v>831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832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6"/>
      <c r="I12" s="3"/>
      <c r="J12" s="3"/>
      <c r="K12" s="3"/>
      <c r="L12" s="4"/>
      <c r="M12" s="4"/>
      <c r="O12" s="11" t="s">
        <v>995</v>
      </c>
      <c r="Q12" s="1"/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6"/>
      <c r="I13" s="3"/>
      <c r="J13" s="3"/>
      <c r="K13" s="3"/>
      <c r="L13" s="4"/>
      <c r="M13" s="4"/>
      <c r="O13" s="11" t="s">
        <v>973</v>
      </c>
      <c r="Q13">
        <f>Q4/0.32</f>
        <v>36.6875</v>
      </c>
      <c r="U13" t="s">
        <v>839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51" t="s">
        <v>78</v>
      </c>
      <c r="P15" s="851"/>
      <c r="T15" s="1">
        <v>43114</v>
      </c>
      <c r="U15" t="s">
        <v>870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18" si="4">O16*$Q$4</f>
        <v>13.500999999999999</v>
      </c>
      <c r="U16" s="475" t="s">
        <v>871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4"/>
        <v>13.383599999999999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4"/>
        <v>13.2662</v>
      </c>
      <c r="T18" s="1">
        <v>43140</v>
      </c>
      <c r="U18" t="s">
        <v>925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ref="P19:P23" si="5">O19*$Q$4</f>
        <v>13.148800000000001</v>
      </c>
      <c r="X19" s="134"/>
    </row>
    <row r="20" spans="1:39" x14ac:dyDescent="0.25">
      <c r="O20" s="81">
        <v>1.1100000000000001</v>
      </c>
      <c r="P20" s="81">
        <f t="shared" si="5"/>
        <v>13.031400000000001</v>
      </c>
      <c r="T20" s="1">
        <v>43152</v>
      </c>
      <c r="U20" t="s">
        <v>929</v>
      </c>
      <c r="X20" s="134"/>
    </row>
    <row r="21" spans="1:39" x14ac:dyDescent="0.25">
      <c r="O21" s="81">
        <v>1.1000000000000001</v>
      </c>
      <c r="P21" s="81">
        <f t="shared" si="5"/>
        <v>12.914000000000001</v>
      </c>
      <c r="X21" s="134"/>
    </row>
    <row r="22" spans="1:39" x14ac:dyDescent="0.25">
      <c r="O22" s="81">
        <v>1.0900000000000001</v>
      </c>
      <c r="P22" s="81">
        <f t="shared" si="5"/>
        <v>12.796600000000002</v>
      </c>
      <c r="T22" s="1">
        <v>43160</v>
      </c>
      <c r="U22" t="s">
        <v>877</v>
      </c>
      <c r="X22" s="134"/>
    </row>
    <row r="23" spans="1:39" x14ac:dyDescent="0.25">
      <c r="O23" s="81">
        <v>1.08</v>
      </c>
      <c r="P23" s="81">
        <f t="shared" si="5"/>
        <v>12.679200000000002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497</v>
      </c>
      <c r="O24" s="81">
        <v>1.07</v>
      </c>
      <c r="P24" s="81">
        <f t="shared" ref="P24:P26" si="6">O24*$Q$4</f>
        <v>12.561800000000002</v>
      </c>
      <c r="T24" s="1">
        <v>43191</v>
      </c>
      <c r="U24" t="s">
        <v>993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2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12.444400000000002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2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12.327</v>
      </c>
      <c r="T26" s="1">
        <v>43237</v>
      </c>
      <c r="U26" t="s">
        <v>1090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2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12.2096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2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12.0922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2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11.9748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2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11.8574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2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11.74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2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11.6226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2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11.5052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2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11.3878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2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11.2704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2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11.153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2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11.035599999999999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2">
        <f t="shared" si="22"/>
        <v>-9.2027895528510886E-2</v>
      </c>
      <c r="I38" s="508" t="s">
        <v>908</v>
      </c>
      <c r="J38" s="39">
        <v>880</v>
      </c>
      <c r="K38" s="39"/>
      <c r="L38" s="4"/>
      <c r="O38" s="81">
        <v>0.93</v>
      </c>
      <c r="P38" s="81">
        <f t="shared" si="19"/>
        <v>10.918200000000001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2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10.800800000000001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2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10.683400000000001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2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10.566000000000001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2">
        <f t="shared" si="25"/>
        <v>-0.12763875297078142</v>
      </c>
      <c r="I42" s="508" t="s">
        <v>909</v>
      </c>
      <c r="J42" s="39">
        <v>736</v>
      </c>
      <c r="K42" s="39"/>
      <c r="L42" s="4"/>
      <c r="O42" s="81">
        <v>0.89</v>
      </c>
      <c r="P42" s="81">
        <f t="shared" ref="P42:P44" si="26">O42*$Q$4</f>
        <v>10.448600000000001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2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10.331200000000001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2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10.213800000000001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2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2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2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481</v>
      </c>
      <c r="T47" s="567" t="s">
        <v>474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2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485</v>
      </c>
      <c r="T48" s="22" t="s">
        <v>484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2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486</v>
      </c>
      <c r="T49" s="22" t="s">
        <v>487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2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488</v>
      </c>
      <c r="T50" s="22" t="s">
        <v>489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ref="F51:F53" si="36">C51*(E51-D51)</f>
        <v>-2127</v>
      </c>
      <c r="G51" s="39">
        <f t="shared" ref="G51:G53" si="37">D51*C51</f>
        <v>5010</v>
      </c>
      <c r="H51" s="222">
        <f t="shared" ref="H51:H53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36"/>
        <v>-1694.9999999999995</v>
      </c>
      <c r="G52" s="39">
        <f t="shared" si="37"/>
        <v>5010</v>
      </c>
      <c r="H52" s="222">
        <f t="shared" si="38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36"/>
        <v>-1760.9999999999998</v>
      </c>
      <c r="G53" s="39">
        <f t="shared" si="37"/>
        <v>5010</v>
      </c>
      <c r="H53" s="222">
        <f t="shared" si="38"/>
        <v>-0.35149700598802391</v>
      </c>
      <c r="I53" s="39"/>
      <c r="J53" s="39">
        <v>-477</v>
      </c>
      <c r="K53" s="39"/>
      <c r="O53" s="81"/>
      <c r="P53" s="81"/>
      <c r="Q53" s="2"/>
      <c r="S53" t="s">
        <v>492</v>
      </c>
      <c r="T53" s="22" t="s">
        <v>482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491</v>
      </c>
      <c r="T54" s="22" t="s">
        <v>483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490</v>
      </c>
      <c r="T55" s="22" t="s">
        <v>493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281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41">C83*(E83-D83)</f>
        <v>-67.999999999999829</v>
      </c>
      <c r="G83" s="363">
        <f t="shared" ref="G83:G92" si="42">D83*C83</f>
        <v>2110.4</v>
      </c>
      <c r="H83" s="364">
        <f t="shared" ref="H83:H92" si="43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41"/>
        <v>-65.999999999999659</v>
      </c>
      <c r="G84" s="363">
        <f t="shared" si="42"/>
        <v>3129.6</v>
      </c>
      <c r="H84" s="364">
        <f t="shared" si="43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41"/>
        <v>-9.5999999999997954</v>
      </c>
      <c r="G85" s="363">
        <f t="shared" si="42"/>
        <v>3129.6</v>
      </c>
      <c r="H85" s="364">
        <f t="shared" si="43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41"/>
        <v>61.200000000000188</v>
      </c>
      <c r="G86" s="363">
        <f t="shared" si="42"/>
        <v>3129.6</v>
      </c>
      <c r="H86" s="364">
        <f t="shared" si="43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41"/>
        <v>-61.199999999999477</v>
      </c>
      <c r="G87" s="363">
        <f t="shared" si="42"/>
        <v>5103.2</v>
      </c>
      <c r="H87" s="364">
        <f t="shared" si="43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41"/>
        <v>-37.199999999999989</v>
      </c>
      <c r="G88" s="363">
        <f t="shared" si="42"/>
        <v>5103.2</v>
      </c>
      <c r="H88" s="364">
        <f t="shared" si="43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41"/>
        <v>146.80000000000035</v>
      </c>
      <c r="G89" s="363">
        <f t="shared" si="42"/>
        <v>5103.2</v>
      </c>
      <c r="H89" s="364">
        <f t="shared" si="43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41"/>
        <v>180.80000000000069</v>
      </c>
      <c r="G90" s="363">
        <f t="shared" si="42"/>
        <v>5103.2</v>
      </c>
      <c r="H90" s="364">
        <f t="shared" si="43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41"/>
        <v>214.24000000000021</v>
      </c>
      <c r="G91" s="363">
        <f t="shared" si="42"/>
        <v>2454.7599999999998</v>
      </c>
      <c r="H91" s="364">
        <f t="shared" si="43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41"/>
        <v>270.63199999999995</v>
      </c>
      <c r="G92" s="363">
        <f t="shared" si="42"/>
        <v>1908.568</v>
      </c>
      <c r="H92" s="364">
        <f t="shared" si="43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669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2">
        <f t="shared" ref="H96:H120" si="46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2">
        <f t="shared" si="46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2">
        <f t="shared" si="46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2">
        <f t="shared" si="46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2">
        <f t="shared" si="46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2">
        <f t="shared" si="46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2">
        <f t="shared" si="46"/>
        <v>-3.5332204800255382E-2</v>
      </c>
      <c r="I102" s="39"/>
      <c r="J102" s="39"/>
      <c r="K102" s="39"/>
    </row>
    <row r="103" spans="1:11" x14ac:dyDescent="0.25">
      <c r="A103" t="s">
        <v>337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2">
        <f t="shared" si="46"/>
        <v>-2.4206047610653314E-2</v>
      </c>
      <c r="I103" s="39" t="s">
        <v>331</v>
      </c>
      <c r="J103" s="39"/>
      <c r="K103" s="39"/>
    </row>
    <row r="104" spans="1:11" x14ac:dyDescent="0.25">
      <c r="A104" t="s">
        <v>337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2">
        <f t="shared" si="46"/>
        <v>6.1370022415326402E-3</v>
      </c>
      <c r="I104" s="39"/>
      <c r="J104" s="39"/>
      <c r="K104" s="39"/>
    </row>
    <row r="105" spans="1:11" x14ac:dyDescent="0.25">
      <c r="A105" t="s">
        <v>367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2">
        <f t="shared" si="46"/>
        <v>-8.7937048285907406E-3</v>
      </c>
      <c r="I105" s="39"/>
      <c r="J105" s="39"/>
      <c r="K105" s="39"/>
    </row>
    <row r="106" spans="1:11" x14ac:dyDescent="0.25">
      <c r="A106" t="s">
        <v>377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2">
        <f t="shared" si="46"/>
        <v>4.1863850405960017E-2</v>
      </c>
      <c r="I106" s="39"/>
      <c r="J106" s="39"/>
      <c r="K106" s="39"/>
    </row>
    <row r="107" spans="1:11" x14ac:dyDescent="0.25">
      <c r="A107" t="s">
        <v>385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2">
        <f t="shared" si="46"/>
        <v>1.4005943985984596E-3</v>
      </c>
      <c r="I107" s="39"/>
      <c r="J107" s="39"/>
      <c r="K107" s="39"/>
    </row>
    <row r="108" spans="1:11" x14ac:dyDescent="0.25">
      <c r="A108" t="s">
        <v>405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2">
        <f t="shared" si="46"/>
        <v>-3.5071533134049267E-2</v>
      </c>
      <c r="I108" s="39"/>
      <c r="J108" s="39"/>
      <c r="K108" s="39"/>
    </row>
    <row r="109" spans="1:11" x14ac:dyDescent="0.25">
      <c r="A109" t="s">
        <v>337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2">
        <f t="shared" si="46"/>
        <v>-1.2436801121895361E-2</v>
      </c>
      <c r="I109" s="39"/>
      <c r="J109" s="39"/>
      <c r="K109" s="39"/>
    </row>
    <row r="110" spans="1:11" x14ac:dyDescent="0.25">
      <c r="A110" t="s">
        <v>337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2">
        <f t="shared" si="46"/>
        <v>-5.3769790013654589E-2</v>
      </c>
      <c r="I110" s="39"/>
      <c r="J110" s="39"/>
      <c r="K110" s="39"/>
    </row>
    <row r="111" spans="1:11" x14ac:dyDescent="0.25">
      <c r="A111" t="s">
        <v>433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2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2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2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2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2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2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2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2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2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2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348" priority="75">
      <formula>F32&gt;0</formula>
    </cfRule>
    <cfRule type="expression" dxfId="2347" priority="76">
      <formula>F32&lt;0</formula>
    </cfRule>
  </conditionalFormatting>
  <conditionalFormatting sqref="Q7">
    <cfRule type="expression" dxfId="2346" priority="73">
      <formula>Q7&gt;0</formula>
    </cfRule>
    <cfRule type="expression" dxfId="2345" priority="74">
      <formula>Q7&lt;0</formula>
    </cfRule>
  </conditionalFormatting>
  <conditionalFormatting sqref="Q8">
    <cfRule type="expression" dxfId="2344" priority="71">
      <formula>Q8&gt;0</formula>
    </cfRule>
    <cfRule type="expression" dxfId="2343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342" priority="63">
      <formula>M58&gt;0</formula>
    </cfRule>
    <cfRule type="expression" dxfId="2341" priority="64">
      <formula>M58&lt;0</formula>
    </cfRule>
  </conditionalFormatting>
  <conditionalFormatting sqref="Q10">
    <cfRule type="expression" dxfId="2340" priority="61">
      <formula>Q10&gt;0</formula>
    </cfRule>
    <cfRule type="expression" dxfId="2339" priority="62">
      <formula>Q10&lt;0</formula>
    </cfRule>
  </conditionalFormatting>
  <conditionalFormatting sqref="F29:F31">
    <cfRule type="expression" dxfId="2338" priority="59">
      <formula>F29&gt;0</formula>
    </cfRule>
    <cfRule type="expression" dxfId="2337" priority="60">
      <formula>F29&lt;0</formula>
    </cfRule>
  </conditionalFormatting>
  <conditionalFormatting sqref="H29:H31">
    <cfRule type="expression" dxfId="2336" priority="57">
      <formula>H29&gt;0</formula>
    </cfRule>
    <cfRule type="expression" dxfId="2335" priority="58">
      <formula>H29&lt;0</formula>
    </cfRule>
  </conditionalFormatting>
  <conditionalFormatting sqref="F83:F94">
    <cfRule type="expression" dxfId="2334" priority="55">
      <formula>F83&gt;0</formula>
    </cfRule>
    <cfRule type="expression" dxfId="2333" priority="56">
      <formula>F83&lt;0</formula>
    </cfRule>
  </conditionalFormatting>
  <conditionalFormatting sqref="H83:H94">
    <cfRule type="expression" dxfId="2332" priority="53">
      <formula>H83&gt;0</formula>
    </cfRule>
    <cfRule type="expression" dxfId="2331" priority="54">
      <formula>H83&lt;0</formula>
    </cfRule>
  </conditionalFormatting>
  <conditionalFormatting sqref="J41">
    <cfRule type="expression" dxfId="2330" priority="51">
      <formula>J41&gt;0</formula>
    </cfRule>
    <cfRule type="expression" dxfId="2329" priority="52">
      <formula>J41&lt;0</formula>
    </cfRule>
  </conditionalFormatting>
  <conditionalFormatting sqref="J39:J47">
    <cfRule type="expression" dxfId="2328" priority="49">
      <formula>J39&gt;0</formula>
    </cfRule>
    <cfRule type="expression" dxfId="2327" priority="50">
      <formula>J39&lt;0</formula>
    </cfRule>
  </conditionalFormatting>
  <conditionalFormatting sqref="F48:F51 H48:H51">
    <cfRule type="expression" dxfId="2326" priority="47">
      <formula>F48&gt;0</formula>
    </cfRule>
    <cfRule type="expression" dxfId="2325" priority="48">
      <formula>F48&lt;0</formula>
    </cfRule>
  </conditionalFormatting>
  <conditionalFormatting sqref="J48:J57">
    <cfRule type="expression" dxfId="2324" priority="45">
      <formula>J48&gt;0</formula>
    </cfRule>
    <cfRule type="expression" dxfId="2323" priority="46">
      <formula>J48&lt;0</formula>
    </cfRule>
  </conditionalFormatting>
  <conditionalFormatting sqref="K45:K52">
    <cfRule type="expression" dxfId="2322" priority="43">
      <formula>K45&gt;0</formula>
    </cfRule>
    <cfRule type="expression" dxfId="2321" priority="44">
      <formula>K45&lt;0</formula>
    </cfRule>
  </conditionalFormatting>
  <conditionalFormatting sqref="K45:K52">
    <cfRule type="expression" dxfId="2320" priority="41">
      <formula>K45&gt;0</formula>
    </cfRule>
    <cfRule type="expression" dxfId="2319" priority="42">
      <formula>K45&lt;0</formula>
    </cfRule>
  </conditionalFormatting>
  <conditionalFormatting sqref="F102:F118 H102:H118 H120:H128 F120:F128">
    <cfRule type="expression" dxfId="2318" priority="37">
      <formula>F102&gt;0</formula>
    </cfRule>
    <cfRule type="expression" dxfId="2317" priority="38">
      <formula>F102&lt;0</formula>
    </cfRule>
  </conditionalFormatting>
  <conditionalFormatting sqref="F96:F101">
    <cfRule type="expression" dxfId="2316" priority="35">
      <formula>F96&gt;0</formula>
    </cfRule>
    <cfRule type="expression" dxfId="2315" priority="36">
      <formula>F96&lt;0</formula>
    </cfRule>
  </conditionalFormatting>
  <conditionalFormatting sqref="H96:H101">
    <cfRule type="expression" dxfId="2314" priority="33">
      <formula>H96&gt;0</formula>
    </cfRule>
    <cfRule type="expression" dxfId="2313" priority="34">
      <formula>H96&lt;0</formula>
    </cfRule>
  </conditionalFormatting>
  <conditionalFormatting sqref="J112">
    <cfRule type="expression" dxfId="2312" priority="31">
      <formula>J112&gt;0</formula>
    </cfRule>
    <cfRule type="expression" dxfId="2311" priority="32">
      <formula>J112&lt;0</formula>
    </cfRule>
  </conditionalFormatting>
  <conditionalFormatting sqref="J110:J118 J120">
    <cfRule type="expression" dxfId="2310" priority="29">
      <formula>J110&gt;0</formula>
    </cfRule>
    <cfRule type="expression" dxfId="2309" priority="30">
      <formula>J110&lt;0</formula>
    </cfRule>
  </conditionalFormatting>
  <conditionalFormatting sqref="F119 H119">
    <cfRule type="expression" dxfId="2308" priority="27">
      <formula>F119&gt;0</formula>
    </cfRule>
    <cfRule type="expression" dxfId="2307" priority="28">
      <formula>F119&lt;0</formula>
    </cfRule>
  </conditionalFormatting>
  <conditionalFormatting sqref="J119">
    <cfRule type="expression" dxfId="2306" priority="25">
      <formula>J119&gt;0</formula>
    </cfRule>
    <cfRule type="expression" dxfId="2305" priority="26">
      <formula>J119&lt;0</formula>
    </cfRule>
  </conditionalFormatting>
  <conditionalFormatting sqref="K112:K123">
    <cfRule type="expression" dxfId="2304" priority="23">
      <formula>K112&gt;0</formula>
    </cfRule>
    <cfRule type="expression" dxfId="2303" priority="24">
      <formula>K112&lt;0</formula>
    </cfRule>
  </conditionalFormatting>
  <conditionalFormatting sqref="K110:K123">
    <cfRule type="expression" dxfId="2302" priority="21">
      <formula>K110&gt;0</formula>
    </cfRule>
    <cfRule type="expression" dxfId="2301" priority="22">
      <formula>K110&lt;0</formula>
    </cfRule>
  </conditionalFormatting>
  <conditionalFormatting sqref="J121">
    <cfRule type="expression" dxfId="2300" priority="19">
      <formula>J121&gt;0</formula>
    </cfRule>
    <cfRule type="expression" dxfId="2299" priority="20">
      <formula>J121&lt;0</formula>
    </cfRule>
  </conditionalFormatting>
  <conditionalFormatting sqref="F25:F28">
    <cfRule type="expression" dxfId="2298" priority="17">
      <formula>F25&gt;0</formula>
    </cfRule>
    <cfRule type="expression" dxfId="2297" priority="18">
      <formula>F25&lt;0</formula>
    </cfRule>
  </conditionalFormatting>
  <conditionalFormatting sqref="H25:H28">
    <cfRule type="expression" dxfId="2296" priority="15">
      <formula>H25&gt;0</formula>
    </cfRule>
    <cfRule type="expression" dxfId="2295" priority="16">
      <formula>H25&lt;0</formula>
    </cfRule>
  </conditionalFormatting>
  <conditionalFormatting sqref="J27:J29">
    <cfRule type="expression" dxfId="2294" priority="13">
      <formula>J27&gt;0</formula>
    </cfRule>
    <cfRule type="expression" dxfId="2293" priority="14">
      <formula>J27&lt;0</formula>
    </cfRule>
  </conditionalFormatting>
  <conditionalFormatting sqref="J30:J31">
    <cfRule type="expression" dxfId="2292" priority="11">
      <formula>J30&gt;0</formula>
    </cfRule>
    <cfRule type="expression" dxfId="2291" priority="12">
      <formula>J30&lt;0</formula>
    </cfRule>
  </conditionalFormatting>
  <conditionalFormatting sqref="J33">
    <cfRule type="expression" dxfId="2290" priority="9">
      <formula>J33&gt;0</formula>
    </cfRule>
    <cfRule type="expression" dxfId="2289" priority="10">
      <formula>J33&lt;0</formula>
    </cfRule>
  </conditionalFormatting>
  <conditionalFormatting sqref="J34">
    <cfRule type="expression" dxfId="2288" priority="7">
      <formula>J34&gt;0</formula>
    </cfRule>
    <cfRule type="expression" dxfId="2287" priority="8">
      <formula>J34&lt;0</formula>
    </cfRule>
  </conditionalFormatting>
  <conditionalFormatting sqref="J35:J43">
    <cfRule type="expression" dxfId="2286" priority="5">
      <formula>J35&gt;0</formula>
    </cfRule>
    <cfRule type="expression" dxfId="2285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284" priority="1">
      <formula>Q9&gt;0</formula>
    </cfRule>
    <cfRule type="expression" dxfId="2283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53.26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53.26</v>
      </c>
      <c r="R4" s="475">
        <v>0.01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51" t="s">
        <v>78</v>
      </c>
      <c r="P40" s="851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58.586000000000006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58.053400000000003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57.520800000000001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56.988199999999999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56.455600000000004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55.923000000000002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55.3904</v>
      </c>
      <c r="Q47" s="2"/>
    </row>
    <row r="48" spans="2:17" x14ac:dyDescent="0.25">
      <c r="O48" s="81">
        <v>1.03</v>
      </c>
      <c r="P48" s="81">
        <f t="shared" si="4"/>
        <v>54.857799999999997</v>
      </c>
      <c r="Q48" s="2"/>
    </row>
    <row r="49" spans="1:17" x14ac:dyDescent="0.25">
      <c r="O49" s="81">
        <v>1.02</v>
      </c>
      <c r="P49" s="81">
        <f t="shared" si="4"/>
        <v>54.325200000000002</v>
      </c>
      <c r="Q49" s="2"/>
    </row>
    <row r="50" spans="1:17" x14ac:dyDescent="0.25">
      <c r="O50" s="81">
        <v>1.01</v>
      </c>
      <c r="P50" s="81">
        <f t="shared" si="4"/>
        <v>53.7926</v>
      </c>
      <c r="Q50" s="2"/>
    </row>
    <row r="51" spans="1:17" x14ac:dyDescent="0.25">
      <c r="O51" s="81">
        <v>1</v>
      </c>
      <c r="P51" s="81">
        <f t="shared" si="4"/>
        <v>53.26</v>
      </c>
      <c r="Q51" s="2"/>
    </row>
    <row r="52" spans="1:17" x14ac:dyDescent="0.25">
      <c r="O52" s="81">
        <v>0.99</v>
      </c>
      <c r="P52" s="81">
        <f t="shared" si="4"/>
        <v>52.727399999999996</v>
      </c>
      <c r="Q52" s="2"/>
    </row>
    <row r="53" spans="1:17" x14ac:dyDescent="0.25">
      <c r="O53" s="81">
        <v>0.98</v>
      </c>
      <c r="P53" s="81">
        <f t="shared" si="4"/>
        <v>52.194799999999994</v>
      </c>
      <c r="Q53" s="2"/>
    </row>
    <row r="54" spans="1:17" x14ac:dyDescent="0.25">
      <c r="O54" s="81">
        <v>0.97</v>
      </c>
      <c r="P54" s="81">
        <f t="shared" si="4"/>
        <v>51.662199999999999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51.129599999999996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50.596999999999994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50.064399999999992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49.531800000000004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48.999200000000002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48.4666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47.933999999999997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282" priority="15">
      <formula>F39&gt;0</formula>
    </cfRule>
    <cfRule type="expression" dxfId="2281" priority="16">
      <formula>F39&lt;0</formula>
    </cfRule>
  </conditionalFormatting>
  <conditionalFormatting sqref="Q7">
    <cfRule type="expression" dxfId="2280" priority="13">
      <formula>Q7&gt;0</formula>
    </cfRule>
    <cfRule type="expression" dxfId="2279" priority="14">
      <formula>Q7&lt;0</formula>
    </cfRule>
  </conditionalFormatting>
  <conditionalFormatting sqref="Q8">
    <cfRule type="expression" dxfId="2278" priority="11">
      <formula>Q8&gt;0</formula>
    </cfRule>
    <cfRule type="expression" dxfId="2277" priority="12">
      <formula>Q8&lt;0</formula>
    </cfRule>
  </conditionalFormatting>
  <conditionalFormatting sqref="F25:F38">
    <cfRule type="expression" dxfId="2276" priority="9">
      <formula>F25&gt;0</formula>
    </cfRule>
    <cfRule type="expression" dxfId="2275" priority="10">
      <formula>F25&lt;0</formula>
    </cfRule>
  </conditionalFormatting>
  <conditionalFormatting sqref="H25:H38">
    <cfRule type="expression" dxfId="2274" priority="7">
      <formula>H25&gt;0</formula>
    </cfRule>
    <cfRule type="expression" dxfId="2273" priority="8">
      <formula>H25&lt;0</formula>
    </cfRule>
  </conditionalFormatting>
  <conditionalFormatting sqref="M55">
    <cfRule type="expression" dxfId="2272" priority="3">
      <formula>M55&gt;0</formula>
    </cfRule>
    <cfRule type="expression" dxfId="2271" priority="4">
      <formula>M55&lt;0</formula>
    </cfRule>
  </conditionalFormatting>
  <conditionalFormatting sqref="Q10">
    <cfRule type="expression" dxfId="2270" priority="1">
      <formula>Q10&gt;0</formula>
    </cfRule>
    <cfRule type="expression" dxfId="2269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5">
        <f>AC2/AC3-1</f>
        <v>-5.3064473335101559E-3</v>
      </c>
    </row>
    <row r="3" spans="1:3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40.83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5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40.83</v>
      </c>
      <c r="R4" s="475">
        <v>5.0000000000000001E-4</v>
      </c>
      <c r="T4" s="156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5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5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5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5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5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208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5">
        <f t="shared" si="1"/>
        <v>2.3879013000795979E-3</v>
      </c>
    </row>
    <row r="10" spans="1:31" x14ac:dyDescent="0.25">
      <c r="O10" s="11" t="s">
        <v>207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5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5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5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5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5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5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5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5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5">
        <f t="shared" si="1"/>
        <v>-8.3916083916083517E-3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5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5">
        <f t="shared" si="1"/>
        <v>9.0497737556560764E-3</v>
      </c>
    </row>
    <row r="21" spans="1:31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5">
        <f t="shared" si="1"/>
        <v>-3.3821871476887866E-3</v>
      </c>
    </row>
    <row r="22" spans="1:31" x14ac:dyDescent="0.25">
      <c r="A22" t="s">
        <v>345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5">
        <f t="shared" si="1"/>
        <v>2.543091268719877E-3</v>
      </c>
    </row>
    <row r="23" spans="1:31" x14ac:dyDescent="0.25">
      <c r="B23" s="184"/>
      <c r="C23" s="10"/>
      <c r="D23" s="193"/>
      <c r="E23" s="39"/>
      <c r="F23" s="227"/>
      <c r="G23" s="39"/>
      <c r="H23" s="223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5">
        <f t="shared" si="1"/>
        <v>1.287922152261034E-2</v>
      </c>
    </row>
    <row r="24" spans="1:31" x14ac:dyDescent="0.25">
      <c r="B24" s="184"/>
      <c r="C24" s="10"/>
      <c r="D24" s="193"/>
      <c r="E24" s="39"/>
      <c r="F24" s="227"/>
      <c r="G24" s="39"/>
      <c r="H24" s="223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5">
        <f t="shared" si="1"/>
        <v>-5.4084827782523437E-3</v>
      </c>
    </row>
    <row r="25" spans="1:31" x14ac:dyDescent="0.25">
      <c r="B25" s="184"/>
      <c r="C25" s="10"/>
      <c r="D25" s="193"/>
      <c r="E25" s="39"/>
      <c r="F25" s="227"/>
      <c r="G25" s="39"/>
      <c r="H25" s="223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5">
        <f t="shared" si="1"/>
        <v>1.5317919075144459E-2</v>
      </c>
    </row>
    <row r="26" spans="1:31" x14ac:dyDescent="0.25">
      <c r="B26" s="184"/>
      <c r="C26" s="10"/>
      <c r="D26" s="193"/>
      <c r="E26" s="39"/>
      <c r="F26" s="227"/>
      <c r="G26" s="39"/>
      <c r="H26" s="223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5">
        <f t="shared" si="1"/>
        <v>3.1893302406493795E-3</v>
      </c>
    </row>
    <row r="27" spans="1:31" x14ac:dyDescent="0.25">
      <c r="B27" s="184"/>
      <c r="C27" s="10"/>
      <c r="D27" s="193"/>
      <c r="E27" s="39"/>
      <c r="F27" s="227"/>
      <c r="G27" s="39"/>
      <c r="H27" s="223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5">
        <f t="shared" si="1"/>
        <v>-5.7653502450272232E-3</v>
      </c>
    </row>
    <row r="28" spans="1:31" x14ac:dyDescent="0.25">
      <c r="B28" s="184"/>
      <c r="C28" s="10"/>
      <c r="D28" s="193"/>
      <c r="E28" s="39"/>
      <c r="F28" s="227"/>
      <c r="G28" s="39"/>
      <c r="H28" s="223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5">
        <f t="shared" si="1"/>
        <v>-8.8571428571428967E-3</v>
      </c>
    </row>
    <row r="29" spans="1:31" x14ac:dyDescent="0.25">
      <c r="B29" s="184"/>
      <c r="C29" s="10"/>
      <c r="D29" s="193"/>
      <c r="E29" s="39"/>
      <c r="F29" s="227"/>
      <c r="G29" s="39"/>
      <c r="H29" s="223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5">
        <f t="shared" si="1"/>
        <v>1.4306151645206988E-3</v>
      </c>
    </row>
    <row r="30" spans="1:31" x14ac:dyDescent="0.25">
      <c r="B30" s="184"/>
      <c r="C30" s="10"/>
      <c r="D30" s="193"/>
      <c r="E30" s="39"/>
      <c r="F30" s="227"/>
      <c r="G30" s="39"/>
      <c r="H30" s="223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5">
        <f t="shared" si="1"/>
        <v>-1.8258426966292096E-2</v>
      </c>
    </row>
    <row r="31" spans="1:31" x14ac:dyDescent="0.25">
      <c r="B31" s="184"/>
      <c r="C31" s="10"/>
      <c r="D31" s="193"/>
      <c r="E31" s="39"/>
      <c r="F31" s="227"/>
      <c r="G31" s="39"/>
      <c r="H31" s="223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5">
        <f t="shared" si="1"/>
        <v>2.8097780275349038E-4</v>
      </c>
    </row>
    <row r="32" spans="1:31" x14ac:dyDescent="0.25">
      <c r="B32" s="184"/>
      <c r="C32" s="10"/>
      <c r="D32" s="193"/>
      <c r="E32" s="39"/>
      <c r="F32" s="227"/>
      <c r="G32" s="39"/>
      <c r="H32" s="223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5">
        <f t="shared" si="1"/>
        <v>5.6513139304890103E-3</v>
      </c>
    </row>
    <row r="33" spans="1:31" x14ac:dyDescent="0.25">
      <c r="B33" s="184"/>
      <c r="C33" s="10"/>
      <c r="D33" s="193"/>
      <c r="E33" s="39"/>
      <c r="F33" s="227"/>
      <c r="G33" s="39"/>
      <c r="H33" s="223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5">
        <f t="shared" si="1"/>
        <v>-2.8248587570611772E-4</v>
      </c>
    </row>
    <row r="34" spans="1:31" x14ac:dyDescent="0.25">
      <c r="B34" s="184"/>
      <c r="C34" s="10"/>
      <c r="D34" s="193"/>
      <c r="E34" s="39"/>
      <c r="F34" s="227"/>
      <c r="G34" s="39"/>
      <c r="H34" s="223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5">
        <f t="shared" si="1"/>
        <v>-1.4104372355431272E-3</v>
      </c>
    </row>
    <row r="35" spans="1:31" x14ac:dyDescent="0.25">
      <c r="B35" s="184"/>
      <c r="C35" s="10"/>
      <c r="D35" s="193"/>
      <c r="E35" s="39"/>
      <c r="F35" s="227"/>
      <c r="G35" s="39"/>
      <c r="H35" s="223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5">
        <f t="shared" si="1"/>
        <v>-2.8200789622101485E-4</v>
      </c>
    </row>
    <row r="36" spans="1:31" x14ac:dyDescent="0.25">
      <c r="B36" s="184"/>
      <c r="C36" s="10"/>
      <c r="D36" s="193"/>
      <c r="E36" s="39"/>
      <c r="F36" s="227"/>
      <c r="G36" s="39"/>
      <c r="H36" s="223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5">
        <f t="shared" si="1"/>
        <v>1.0544314619549633E-2</v>
      </c>
    </row>
    <row r="37" spans="1:31" x14ac:dyDescent="0.25">
      <c r="B37" s="72"/>
      <c r="C37" s="4"/>
      <c r="D37" s="554"/>
      <c r="E37" s="3"/>
      <c r="F37" s="3"/>
      <c r="G37" s="3"/>
      <c r="H37" s="224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5">
        <f t="shared" si="1"/>
        <v>-3.1249999999999334E-3</v>
      </c>
    </row>
    <row r="38" spans="1:31" x14ac:dyDescent="0.25">
      <c r="B38" s="72"/>
      <c r="C38" s="4"/>
      <c r="D38" s="554"/>
      <c r="E38" s="3"/>
      <c r="F38" s="3"/>
      <c r="G38" s="3"/>
      <c r="H38" s="224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5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5">
        <f t="shared" si="1"/>
        <v>-3.6973833902160802E-3</v>
      </c>
    </row>
    <row r="40" spans="1:31" ht="20.25" thickBot="1" x14ac:dyDescent="0.35">
      <c r="O40" s="851" t="s">
        <v>78</v>
      </c>
      <c r="P40" s="851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5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44.913000000000004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5">
        <f t="shared" si="1"/>
        <v>9.0574582507783052E-3</v>
      </c>
    </row>
    <row r="42" spans="1:3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2">O42*$Q$4</f>
        <v>44.5047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5">
        <f t="shared" si="1"/>
        <v>5.9794988610477606E-3</v>
      </c>
    </row>
    <row r="43" spans="1:31" ht="15.75" thickTop="1" x14ac:dyDescent="0.25">
      <c r="A43" s="371" t="s">
        <v>313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2"/>
        <v>44.096400000000003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5">
        <f t="shared" si="1"/>
        <v>8.3261556129772263E-3</v>
      </c>
    </row>
    <row r="44" spans="1:3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2"/>
        <v>43.688099999999999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5">
        <f t="shared" si="1"/>
        <v>-3.4334763948499214E-3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2"/>
        <v>43.279800000000002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5">
        <f t="shared" si="1"/>
        <v>6.044905008635526E-3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2"/>
        <v>42.871499999999997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5">
        <f t="shared" si="1"/>
        <v>6.0816681146829144E-3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2"/>
        <v>42.463200000000001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5">
        <f t="shared" si="1"/>
        <v>1.1719894520949348E-2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2"/>
        <v>42.054899999999996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5">
        <f t="shared" si="1"/>
        <v>-5.8258083309057351E-3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2"/>
        <v>41.646599999999999</v>
      </c>
      <c r="Q49" s="2"/>
      <c r="T49" s="91" t="s">
        <v>103</v>
      </c>
      <c r="U49" s="127" t="s">
        <v>576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5">
        <f t="shared" si="1"/>
        <v>-2.9044437990125571E-3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2"/>
        <v>41.238299999999995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5">
        <f t="shared" si="1"/>
        <v>-1.0916403332375868E-2</v>
      </c>
    </row>
    <row r="51" spans="1:3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2"/>
        <v>40.83</v>
      </c>
      <c r="Q51" s="2"/>
      <c r="T51" s="91" t="s">
        <v>104</v>
      </c>
      <c r="U51" s="127" t="s">
        <v>577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5">
        <f t="shared" si="1"/>
        <v>7.5253256150507042E-3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2"/>
        <v>40.421700000000001</v>
      </c>
      <c r="Q52" s="2"/>
      <c r="T52" s="91" t="s">
        <v>105</v>
      </c>
      <c r="U52" s="127" t="s">
        <v>314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5">
        <f t="shared" si="1"/>
        <v>8.7591240875910525E-3</v>
      </c>
    </row>
    <row r="53" spans="1:3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2"/>
        <v>40.013399999999997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5">
        <f t="shared" si="1"/>
        <v>6.4648839259475732E-3</v>
      </c>
    </row>
    <row r="54" spans="1:3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2"/>
        <v>39.6051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5">
        <f t="shared" si="1"/>
        <v>5.0206733608979537E-3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2"/>
        <v>39.196799999999996</v>
      </c>
      <c r="T55" s="91" t="s">
        <v>107</v>
      </c>
      <c r="U55" s="127" t="s">
        <v>578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5">
        <f t="shared" si="1"/>
        <v>2.668283808368721E-2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2"/>
        <v>38.788499999999999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5">
        <f t="shared" si="1"/>
        <v>2.3905619372865505E-2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2"/>
        <v>38.380199999999995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5">
        <f t="shared" si="1"/>
        <v>1.8662519440124647E-3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37.971899999999998</v>
      </c>
      <c r="T58" s="91" t="s">
        <v>108</v>
      </c>
      <c r="U58" s="127" t="s">
        <v>505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5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37.563600000000001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5">
        <f t="shared" si="1"/>
        <v>-7.9999999999998961E-3</v>
      </c>
    </row>
    <row r="60" spans="1:3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2"/>
        <v>37.155299999999997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5">
        <f t="shared" si="1"/>
        <v>3.1746031746031855E-2</v>
      </c>
    </row>
    <row r="61" spans="1:31" x14ac:dyDescent="0.25">
      <c r="O61" s="81">
        <v>0.9</v>
      </c>
      <c r="P61" s="81">
        <f t="shared" si="2"/>
        <v>36.747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5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5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5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5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5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5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5" t="e">
        <f>AC67/#REF!-1</f>
        <v>#REF!</v>
      </c>
    </row>
    <row r="68" spans="1:3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5" t="e">
        <f>#REF!/AC68-1</f>
        <v>#REF!</v>
      </c>
    </row>
    <row r="69" spans="1:3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  <c r="AD69" s="39">
        <f>Y68-Z68</f>
        <v>0</v>
      </c>
      <c r="AE69" s="155" t="e">
        <f>AC68/AC69-1</f>
        <v>#DIV/0!</v>
      </c>
    </row>
    <row r="70" spans="1:3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3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268" priority="27">
      <formula>F27&gt;0</formula>
    </cfRule>
    <cfRule type="expression" dxfId="2267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266" priority="15">
      <formula>Q8&gt;0</formula>
    </cfRule>
    <cfRule type="expression" dxfId="2265" priority="16">
      <formula>Q8&lt;0</formula>
    </cfRule>
  </conditionalFormatting>
  <conditionalFormatting sqref="Q7">
    <cfRule type="expression" dxfId="2264" priority="17">
      <formula>Q7&gt;0</formula>
    </cfRule>
    <cfRule type="expression" dxfId="2263" priority="18">
      <formula>Q7&lt;0</formula>
    </cfRule>
  </conditionalFormatting>
  <conditionalFormatting sqref="F37:F38">
    <cfRule type="expression" dxfId="2262" priority="13">
      <formula>F37&gt;0</formula>
    </cfRule>
    <cfRule type="expression" dxfId="2261" priority="14">
      <formula>F37&lt;0</formula>
    </cfRule>
  </conditionalFormatting>
  <conditionalFormatting sqref="H37:H38">
    <cfRule type="expression" dxfId="2260" priority="11">
      <formula>H37&gt;0</formula>
    </cfRule>
    <cfRule type="expression" dxfId="2259" priority="12">
      <formula>H37&lt;0</formula>
    </cfRule>
  </conditionalFormatting>
  <conditionalFormatting sqref="F23:F26 H23:H26">
    <cfRule type="expression" dxfId="2258" priority="9">
      <formula>F23&gt;0</formula>
    </cfRule>
    <cfRule type="expression" dxfId="2257" priority="10">
      <formula>F23&lt;0</formula>
    </cfRule>
  </conditionalFormatting>
  <conditionalFormatting sqref="Q10">
    <cfRule type="expression" dxfId="2256" priority="3">
      <formula>Q10&gt;0</formula>
    </cfRule>
    <cfRule type="expression" dxfId="2255" priority="4">
      <formula>Q10&lt;0</formula>
    </cfRule>
  </conditionalFormatting>
  <conditionalFormatting sqref="F22 H22">
    <cfRule type="expression" dxfId="2254" priority="1">
      <formula>F22&gt;0</formula>
    </cfRule>
    <cfRule type="expression" dxfId="2253" priority="2">
      <formula>F22&lt;0</formula>
    </cfRule>
  </conditionalFormatting>
  <conditionalFormatting sqref="M41">
    <cfRule type="expression" dxfId="2252" priority="5">
      <formula>M41&gt;0</formula>
    </cfRule>
    <cfRule type="expression" dxfId="2251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298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56.45</v>
      </c>
      <c r="T3" s="1"/>
      <c r="W3" s="130">
        <v>42830</v>
      </c>
      <c r="X3" s="10" t="s">
        <v>327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56.45</v>
      </c>
      <c r="R4" s="475">
        <v>-1.8E-3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208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207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1" t="s">
        <v>78</v>
      </c>
      <c r="P40" s="851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62.095000000000006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61.530500000000011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60.966000000000008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60.401500000000006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59.837000000000003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59.272500000000008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58.708000000000006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298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58.143500000000003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57.579000000000001</v>
      </c>
      <c r="Q49" s="2"/>
      <c r="T49" s="91" t="s">
        <v>103</v>
      </c>
      <c r="U49" s="127" t="s">
        <v>477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57.014500000000005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56.45</v>
      </c>
      <c r="Q51" s="2"/>
      <c r="T51" s="91" t="s">
        <v>104</v>
      </c>
      <c r="U51" s="127" t="s">
        <v>579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55.8855</v>
      </c>
      <c r="Q52" s="2"/>
      <c r="T52" s="91" t="s">
        <v>105</v>
      </c>
      <c r="U52" s="127" t="s">
        <v>364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55.321000000000005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54.756500000000003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54.192</v>
      </c>
      <c r="T55" s="91" t="s">
        <v>107</v>
      </c>
      <c r="U55" s="127" t="s">
        <v>580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53.627499999999998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53.063000000000002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52.498500000000007</v>
      </c>
      <c r="T58" s="91" t="s">
        <v>108</v>
      </c>
      <c r="U58" s="127" t="s">
        <v>537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51.934000000000005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51.369500000000002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50.805000000000007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327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334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344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361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361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384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419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435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452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250" priority="29">
      <formula>F25&gt;0</formula>
    </cfRule>
    <cfRule type="expression" dxfId="2249" priority="30">
      <formula>F25&lt;0</formula>
    </cfRule>
  </conditionalFormatting>
  <conditionalFormatting sqref="Q7">
    <cfRule type="expression" dxfId="2248" priority="27">
      <formula>Q7&gt;0</formula>
    </cfRule>
    <cfRule type="expression" dxfId="2247" priority="28">
      <formula>Q7&lt;0</formula>
    </cfRule>
  </conditionalFormatting>
  <conditionalFormatting sqref="Q8">
    <cfRule type="expression" dxfId="2246" priority="25">
      <formula>Q8&gt;0</formula>
    </cfRule>
    <cfRule type="expression" dxfId="2245" priority="26">
      <formula>Q8&lt;0</formula>
    </cfRule>
  </conditionalFormatting>
  <conditionalFormatting sqref="Q10">
    <cfRule type="expression" dxfId="2244" priority="13">
      <formula>Q10&gt;0</formula>
    </cfRule>
    <cfRule type="expression" dxfId="2243" priority="14">
      <formula>Q10&lt;0</formula>
    </cfRule>
  </conditionalFormatting>
  <conditionalFormatting sqref="M46">
    <cfRule type="expression" dxfId="2242" priority="11">
      <formula>M46&gt;0</formula>
    </cfRule>
    <cfRule type="expression" dxfId="2241" priority="12">
      <formula>M46&lt;0</formula>
    </cfRule>
  </conditionalFormatting>
  <conditionalFormatting sqref="F80:F88 H80:H88">
    <cfRule type="expression" dxfId="2240" priority="9">
      <formula>F80&gt;0</formula>
    </cfRule>
    <cfRule type="expression" dxfId="2239" priority="10">
      <formula>F80&lt;0</formula>
    </cfRule>
  </conditionalFormatting>
  <conditionalFormatting sqref="F75:F79">
    <cfRule type="expression" dxfId="2238" priority="7">
      <formula>F75&gt;0</formula>
    </cfRule>
    <cfRule type="expression" dxfId="2237" priority="8">
      <formula>F75&lt;0</formula>
    </cfRule>
  </conditionalFormatting>
  <conditionalFormatting sqref="H75:H79">
    <cfRule type="expression" dxfId="2236" priority="5">
      <formula>H75&gt;0</formula>
    </cfRule>
    <cfRule type="expression" dxfId="2235" priority="6">
      <formula>H75&lt;0</formula>
    </cfRule>
  </conditionalFormatting>
  <conditionalFormatting sqref="F71:F74">
    <cfRule type="expression" dxfId="2234" priority="3">
      <formula>F71&gt;0</formula>
    </cfRule>
    <cfRule type="expression" dxfId="2233" priority="4">
      <formula>F71&lt;0</formula>
    </cfRule>
  </conditionalFormatting>
  <conditionalFormatting sqref="H71:H74">
    <cfRule type="expression" dxfId="2232" priority="1">
      <formula>H71&gt;0</formula>
    </cfRule>
    <cfRule type="expression" dxfId="2231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693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30.82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30.82</v>
      </c>
      <c r="R4" s="495">
        <v>-1.38E-2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207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669</v>
      </c>
      <c r="L24" s="220" t="s">
        <v>675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2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33.902000000000001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33.593800000000002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33.285600000000002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32.977400000000003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32.669200000000004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32.361000000000004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32.052800000000005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31.744600000000002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31.436400000000003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31.1282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30.82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30.511800000000001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30.203599999999998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29.895399999999999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29.587199999999999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29.279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28.970799999999997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28.662600000000001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28.354400000000002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28.046200000000002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27.738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693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230" priority="21">
      <formula>F47&gt;0</formula>
    </cfRule>
    <cfRule type="expression" dxfId="2229" priority="22">
      <formula>F47&lt;0</formula>
    </cfRule>
  </conditionalFormatting>
  <conditionalFormatting sqref="Q7">
    <cfRule type="expression" dxfId="2228" priority="19">
      <formula>Q7&gt;0</formula>
    </cfRule>
    <cfRule type="expression" dxfId="2227" priority="20">
      <formula>Q7&lt;0</formula>
    </cfRule>
  </conditionalFormatting>
  <conditionalFormatting sqref="Q8">
    <cfRule type="expression" dxfId="2226" priority="17">
      <formula>Q8&gt;0</formula>
    </cfRule>
    <cfRule type="expression" dxfId="2225" priority="18">
      <formula>Q8&lt;0</formula>
    </cfRule>
  </conditionalFormatting>
  <conditionalFormatting sqref="F25:F46">
    <cfRule type="expression" dxfId="2224" priority="15">
      <formula>F25&gt;0</formula>
    </cfRule>
    <cfRule type="expression" dxfId="2223" priority="16">
      <formula>F25&lt;0</formula>
    </cfRule>
  </conditionalFormatting>
  <conditionalFormatting sqref="H25:H46">
    <cfRule type="expression" dxfId="2222" priority="13">
      <formula>H25&gt;0</formula>
    </cfRule>
    <cfRule type="expression" dxfId="2221" priority="14">
      <formula>H25&lt;0</formula>
    </cfRule>
  </conditionalFormatting>
  <conditionalFormatting sqref="F89:F110">
    <cfRule type="expression" dxfId="2220" priority="11">
      <formula>F89&gt;0</formula>
    </cfRule>
    <cfRule type="expression" dxfId="2219" priority="12">
      <formula>F89&lt;0</formula>
    </cfRule>
  </conditionalFormatting>
  <conditionalFormatting sqref="H89:H110">
    <cfRule type="expression" dxfId="2218" priority="9">
      <formula>H89&gt;0</formula>
    </cfRule>
    <cfRule type="expression" dxfId="2217" priority="10">
      <formula>H89&lt;0</formula>
    </cfRule>
  </conditionalFormatting>
  <conditionalFormatting sqref="Q10">
    <cfRule type="expression" dxfId="2216" priority="7">
      <formula>Q10&gt;0</formula>
    </cfRule>
    <cfRule type="expression" dxfId="2215" priority="8">
      <formula>Q10&lt;0</formula>
    </cfRule>
  </conditionalFormatting>
  <conditionalFormatting sqref="J25:J38">
    <cfRule type="expression" dxfId="2214" priority="5">
      <formula>J25&gt;0</formula>
    </cfRule>
    <cfRule type="expression" dxfId="2213" priority="6">
      <formula>J25&lt;0</formula>
    </cfRule>
  </conditionalFormatting>
  <conditionalFormatting sqref="K25:K38">
    <cfRule type="expression" dxfId="2212" priority="3">
      <formula>K25&gt;0</formula>
    </cfRule>
    <cfRule type="expression" dxfId="2211" priority="4">
      <formula>K25&lt;0</formula>
    </cfRule>
  </conditionalFormatting>
  <conditionalFormatting sqref="L25:L38">
    <cfRule type="expression" dxfId="2210" priority="1">
      <formula>L25&gt;0</formula>
    </cfRule>
    <cfRule type="expression" dxfId="220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76.23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76.23</v>
      </c>
      <c r="R4" s="475">
        <v>1.41E-2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208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207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83.853000000000009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83.090700000000012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82.328400000000016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81.566100000000006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80.80380000000001</v>
      </c>
      <c r="Q45" s="2"/>
      <c r="T45" s="91" t="s">
        <v>99</v>
      </c>
      <c r="U45" s="127" t="s">
        <v>581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80.041500000000013</v>
      </c>
      <c r="Q46" s="2"/>
      <c r="T46" s="91" t="s">
        <v>100</v>
      </c>
      <c r="U46" s="127" t="s">
        <v>582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79.279200000000003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247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78.516900000000007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77.754600000000011</v>
      </c>
      <c r="Q49" s="2"/>
      <c r="T49" s="91" t="s">
        <v>121</v>
      </c>
      <c r="U49" s="127" t="s">
        <v>386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76.9923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76.23</v>
      </c>
      <c r="Q51" s="2"/>
      <c r="T51" s="91" t="s">
        <v>104</v>
      </c>
      <c r="U51" s="127" t="s">
        <v>583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75.467700000000008</v>
      </c>
      <c r="Q52" s="2"/>
      <c r="T52" s="91" t="s">
        <v>105</v>
      </c>
      <c r="U52" s="127" t="s">
        <v>416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74.705399999999997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73.943100000000001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73.180800000000005</v>
      </c>
      <c r="T55" s="91" t="s">
        <v>107</v>
      </c>
      <c r="U55" s="127" t="s">
        <v>584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72.418499999999995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71.656199999999998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70.893900000000002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70.131600000000006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69.36930000000001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68.606999999999999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248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251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208" priority="23">
      <formula>F34&gt;0</formula>
    </cfRule>
    <cfRule type="expression" dxfId="2207" priority="24">
      <formula>F34&lt;0</formula>
    </cfRule>
  </conditionalFormatting>
  <conditionalFormatting sqref="Q7">
    <cfRule type="expression" dxfId="2206" priority="21">
      <formula>Q7&gt;0</formula>
    </cfRule>
    <cfRule type="expression" dxfId="2205" priority="22">
      <formula>Q7&lt;0</formula>
    </cfRule>
  </conditionalFormatting>
  <conditionalFormatting sqref="Q8">
    <cfRule type="expression" dxfId="2204" priority="19">
      <formula>Q8&gt;0</formula>
    </cfRule>
    <cfRule type="expression" dxfId="2203" priority="20">
      <formula>Q8&lt;0</formula>
    </cfRule>
  </conditionalFormatting>
  <conditionalFormatting sqref="F25:F33">
    <cfRule type="expression" dxfId="2202" priority="17">
      <formula>F25&gt;0</formula>
    </cfRule>
    <cfRule type="expression" dxfId="2201" priority="18">
      <formula>F25&lt;0</formula>
    </cfRule>
  </conditionalFormatting>
  <conditionalFormatting sqref="H25:H33">
    <cfRule type="expression" dxfId="2200" priority="15">
      <formula>H25&gt;0</formula>
    </cfRule>
    <cfRule type="expression" dxfId="2199" priority="16">
      <formula>H25&lt;0</formula>
    </cfRule>
  </conditionalFormatting>
  <conditionalFormatting sqref="M46">
    <cfRule type="expression" dxfId="2198" priority="13">
      <formula>M46&gt;0</formula>
    </cfRule>
    <cfRule type="expression" dxfId="2197" priority="14">
      <formula>M46&lt;0</formula>
    </cfRule>
  </conditionalFormatting>
  <conditionalFormatting sqref="F79:F87 H79:H87">
    <cfRule type="expression" dxfId="2196" priority="11">
      <formula>F79&gt;0</formula>
    </cfRule>
    <cfRule type="expression" dxfId="2195" priority="12">
      <formula>F79&lt;0</formula>
    </cfRule>
  </conditionalFormatting>
  <conditionalFormatting sqref="F70:F78">
    <cfRule type="expression" dxfId="2194" priority="9">
      <formula>F70&gt;0</formula>
    </cfRule>
    <cfRule type="expression" dxfId="2193" priority="10">
      <formula>F70&lt;0</formula>
    </cfRule>
  </conditionalFormatting>
  <conditionalFormatting sqref="H70:H78">
    <cfRule type="expression" dxfId="2192" priority="7">
      <formula>H70&gt;0</formula>
    </cfRule>
    <cfRule type="expression" dxfId="2191" priority="8">
      <formula>H70&lt;0</formula>
    </cfRule>
  </conditionalFormatting>
  <conditionalFormatting sqref="J27:K27 J30:K30 J33:K33 J36:K36 J39:K39 J42:K42">
    <cfRule type="expression" dxfId="2190" priority="5">
      <formula>J27&gt;0</formula>
    </cfRule>
    <cfRule type="expression" dxfId="2189" priority="6">
      <formula>J27&lt;0</formula>
    </cfRule>
  </conditionalFormatting>
  <conditionalFormatting sqref="J28:K29 J31:K32 J34:K35 J37:K38 J40:K41">
    <cfRule type="expression" dxfId="2188" priority="3">
      <formula>J28&gt;0</formula>
    </cfRule>
    <cfRule type="expression" dxfId="2187" priority="4">
      <formula>J28&lt;0</formula>
    </cfRule>
  </conditionalFormatting>
  <conditionalFormatting sqref="L27:L42">
    <cfRule type="expression" dxfId="2186" priority="1">
      <formula>L27&gt;0</formula>
    </cfRule>
    <cfRule type="expression" dxfId="2185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17.79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17.79</v>
      </c>
      <c r="R4" s="475">
        <v>3.2500000000000001E-2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</row>
    <row r="10" spans="1:21" x14ac:dyDescent="0.25">
      <c r="H10" s="70"/>
      <c r="O10" s="11" t="s">
        <v>207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 t="shared" ref="F25" si="0">C25*(E25-D25)</f>
        <v>112.0000000000001</v>
      </c>
      <c r="G25" s="39">
        <f t="shared" ref="G25" si="1">D25*C25</f>
        <v>2468</v>
      </c>
      <c r="H25" s="222">
        <f t="shared" ref="H25" si="2"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1" t="s">
        <v>78</v>
      </c>
      <c r="P40" s="851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19.568999999999999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3">O42*$Q$4</f>
        <v>19.391100000000002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3"/>
        <v>19.213200000000001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3"/>
        <v>19.035299999999999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3"/>
        <v>18.857399999999998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3"/>
        <v>18.679500000000001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3"/>
        <v>18.5016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3"/>
        <v>18.323699999999999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3"/>
        <v>18.145799999999998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3"/>
        <v>17.9679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3"/>
        <v>17.79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3"/>
        <v>17.612099999999998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3"/>
        <v>17.434200000000001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3"/>
        <v>17.2563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3"/>
        <v>17.078399999999998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3"/>
        <v>16.900499999999997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16.7226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16.544699999999999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16.366800000000001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16.1889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16.010999999999999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672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184" priority="9">
      <formula>F57&gt;0</formula>
    </cfRule>
    <cfRule type="expression" dxfId="2183" priority="10">
      <formula>F57&lt;0</formula>
    </cfRule>
  </conditionalFormatting>
  <conditionalFormatting sqref="Q7">
    <cfRule type="expression" dxfId="2182" priority="7">
      <formula>Q7&gt;0</formula>
    </cfRule>
    <cfRule type="expression" dxfId="2181" priority="8">
      <formula>Q7&lt;0</formula>
    </cfRule>
  </conditionalFormatting>
  <conditionalFormatting sqref="Q8">
    <cfRule type="expression" dxfId="2180" priority="5">
      <formula>Q8&gt;0</formula>
    </cfRule>
    <cfRule type="expression" dxfId="2179" priority="6">
      <formula>Q8&lt;0</formula>
    </cfRule>
  </conditionalFormatting>
  <conditionalFormatting sqref="F25:F56">
    <cfRule type="expression" dxfId="2178" priority="3">
      <formula>F25&gt;0</formula>
    </cfRule>
    <cfRule type="expression" dxfId="2177" priority="4">
      <formula>F25&lt;0</formula>
    </cfRule>
  </conditionalFormatting>
  <conditionalFormatting sqref="H25:H56">
    <cfRule type="expression" dxfId="2176" priority="1">
      <formula>H25&gt;0</formula>
    </cfRule>
    <cfRule type="expression" dxfId="2175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1149</v>
      </c>
      <c r="B2" s="474">
        <v>43278</v>
      </c>
      <c r="C2" s="4">
        <v>100</v>
      </c>
      <c r="D2" s="3">
        <v>51.18</v>
      </c>
      <c r="E2" s="3">
        <v>0</v>
      </c>
      <c r="F2" s="3">
        <f t="shared" ref="F2" si="0">C2*D2+E2</f>
        <v>5118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51.18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53.369900000000001</v>
      </c>
      <c r="R4" s="495">
        <v>1.6799999999999999E-2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5336.99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5118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218.98999999999978</v>
      </c>
      <c r="R7" s="29">
        <v>43311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218.98999999999978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4.2788198515044895E-2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3.2977389877065534E-2</v>
      </c>
      <c r="R11">
        <v>1.76</v>
      </c>
    </row>
    <row r="12" spans="1:21" x14ac:dyDescent="0.25">
      <c r="H12" s="70"/>
      <c r="O12" s="11" t="s">
        <v>995</v>
      </c>
      <c r="Q12" s="29"/>
    </row>
    <row r="13" spans="1:21" x14ac:dyDescent="0.25">
      <c r="H13" s="70"/>
      <c r="O13" s="11" t="s">
        <v>973</v>
      </c>
      <c r="Q13">
        <f>Q4/8.62</f>
        <v>6.1914037122969843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5118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497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" si="1">C25*(E25-D25)</f>
        <v>7.0000000000000284</v>
      </c>
      <c r="G25" s="39">
        <f t="shared" ref="G25" si="2">D25*C25</f>
        <v>5118</v>
      </c>
      <c r="H25" s="222">
        <f t="shared" ref="H25" si="3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58.706890000000008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4">O42*$Q$4</f>
        <v>58.173191000000003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4"/>
        <v>57.639492000000004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4"/>
        <v>57.105793000000006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4"/>
        <v>56.572094000000007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4"/>
        <v>56.038395000000001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4"/>
        <v>55.504696000000003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4"/>
        <v>54.970997000000004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4"/>
        <v>54.437298000000006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4"/>
        <v>53.903599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4"/>
        <v>53.369900000000001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4"/>
        <v>52.836201000000003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4"/>
        <v>52.302501999999997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4"/>
        <v>51.768802999999998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4"/>
        <v>51.235104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4"/>
        <v>50.701405000000001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4"/>
        <v>50.167705999999995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4"/>
        <v>49.634007000000004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4"/>
        <v>49.100308000000005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4"/>
        <v>48.566609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4"/>
        <v>48.032910000000001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74" priority="35">
      <formula>F47&gt;0</formula>
    </cfRule>
    <cfRule type="expression" dxfId="2173" priority="36">
      <formula>F47&lt;0</formula>
    </cfRule>
  </conditionalFormatting>
  <conditionalFormatting sqref="Q7">
    <cfRule type="expression" dxfId="2172" priority="33">
      <formula>Q7&gt;0</formula>
    </cfRule>
    <cfRule type="expression" dxfId="2171" priority="34">
      <formula>Q7&lt;0</formula>
    </cfRule>
  </conditionalFormatting>
  <conditionalFormatting sqref="Q8">
    <cfRule type="expression" dxfId="2170" priority="31">
      <formula>Q8&gt;0</formula>
    </cfRule>
    <cfRule type="expression" dxfId="2169" priority="32">
      <formula>Q8&lt;0</formula>
    </cfRule>
  </conditionalFormatting>
  <conditionalFormatting sqref="F30:F46">
    <cfRule type="expression" dxfId="2168" priority="29">
      <formula>F30&gt;0</formula>
    </cfRule>
    <cfRule type="expression" dxfId="2167" priority="30">
      <formula>F30&lt;0</formula>
    </cfRule>
  </conditionalFormatting>
  <conditionalFormatting sqref="H30:H46">
    <cfRule type="expression" dxfId="2166" priority="27">
      <formula>H30&gt;0</formula>
    </cfRule>
    <cfRule type="expression" dxfId="2165" priority="28">
      <formula>H30&lt;0</formula>
    </cfRule>
  </conditionalFormatting>
  <conditionalFormatting sqref="Q10">
    <cfRule type="expression" dxfId="2164" priority="25">
      <formula>Q10&gt;0</formula>
    </cfRule>
    <cfRule type="expression" dxfId="2163" priority="26">
      <formula>Q10&lt;0</formula>
    </cfRule>
  </conditionalFormatting>
  <conditionalFormatting sqref="J27:J38">
    <cfRule type="expression" dxfId="2162" priority="23">
      <formula>J27&gt;0</formula>
    </cfRule>
    <cfRule type="expression" dxfId="2161" priority="24">
      <formula>J27&lt;0</formula>
    </cfRule>
  </conditionalFormatting>
  <conditionalFormatting sqref="K27:K38">
    <cfRule type="expression" dxfId="2160" priority="21">
      <formula>K27&gt;0</formula>
    </cfRule>
    <cfRule type="expression" dxfId="2159" priority="22">
      <formula>K27&lt;0</formula>
    </cfRule>
  </conditionalFormatting>
  <conditionalFormatting sqref="L27:L38">
    <cfRule type="expression" dxfId="2158" priority="19">
      <formula>L27&gt;0</formula>
    </cfRule>
    <cfRule type="expression" dxfId="2157" priority="20">
      <formula>L27&lt;0</formula>
    </cfRule>
  </conditionalFormatting>
  <conditionalFormatting sqref="F89:F110">
    <cfRule type="expression" dxfId="2156" priority="17">
      <formula>F89&gt;0</formula>
    </cfRule>
    <cfRule type="expression" dxfId="2155" priority="18">
      <formula>F89&lt;0</formula>
    </cfRule>
  </conditionalFormatting>
  <conditionalFormatting sqref="H89:H110">
    <cfRule type="expression" dxfId="2154" priority="15">
      <formula>H89&gt;0</formula>
    </cfRule>
    <cfRule type="expression" dxfId="2153" priority="16">
      <formula>H89&lt;0</formula>
    </cfRule>
  </conditionalFormatting>
  <conditionalFormatting sqref="J89:J102">
    <cfRule type="expression" dxfId="2152" priority="13">
      <formula>J89&gt;0</formula>
    </cfRule>
    <cfRule type="expression" dxfId="2151" priority="14">
      <formula>J89&lt;0</formula>
    </cfRule>
  </conditionalFormatting>
  <conditionalFormatting sqref="K89:K102">
    <cfRule type="expression" dxfId="2150" priority="11">
      <formula>K89&gt;0</formula>
    </cfRule>
    <cfRule type="expression" dxfId="2149" priority="12">
      <formula>K89&lt;0</formula>
    </cfRule>
  </conditionalFormatting>
  <conditionalFormatting sqref="L89:L102">
    <cfRule type="expression" dxfId="2148" priority="9">
      <formula>L89&gt;0</formula>
    </cfRule>
    <cfRule type="expression" dxfId="2147" priority="10">
      <formula>L89&lt;0</formula>
    </cfRule>
  </conditionalFormatting>
  <conditionalFormatting sqref="F27:F29">
    <cfRule type="expression" dxfId="2146" priority="7">
      <formula>F27&gt;0</formula>
    </cfRule>
    <cfRule type="expression" dxfId="2145" priority="8">
      <formula>F27&lt;0</formula>
    </cfRule>
  </conditionalFormatting>
  <conditionalFormatting sqref="H27:H29">
    <cfRule type="expression" dxfId="2144" priority="5">
      <formula>H27&gt;0</formula>
    </cfRule>
    <cfRule type="expression" dxfId="2143" priority="6">
      <formula>H27&lt;0</formula>
    </cfRule>
  </conditionalFormatting>
  <conditionalFormatting sqref="F25:F26 H25:H26">
    <cfRule type="expression" dxfId="2142" priority="1">
      <formula>F25&gt;0</formula>
    </cfRule>
    <cfRule type="expression" dxfId="2141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topLeftCell="G1" workbookViewId="0">
      <pane ySplit="1" topLeftCell="A2" activePane="bottomLeft" state="frozen"/>
      <selection activeCell="A2" sqref="A2"/>
      <selection pane="bottomLeft" activeCell="Q7" sqref="Q7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458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67.64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67.64</v>
      </c>
      <c r="R4" s="475">
        <v>1.7399999999999999E-2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1" t="s">
        <v>78</v>
      </c>
      <c r="P40" s="851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74.404000000000011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73.72760000000001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73.051200000000009</v>
      </c>
      <c r="Q43" s="2"/>
      <c r="T43" s="125" t="s">
        <v>97</v>
      </c>
      <c r="U43" s="126">
        <v>77.87</v>
      </c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72.374800000000008</v>
      </c>
      <c r="Q44" s="2"/>
      <c r="T44" s="91" t="s">
        <v>98</v>
      </c>
      <c r="U44" s="127">
        <v>77.819999999999993</v>
      </c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71.698400000000007</v>
      </c>
      <c r="Q45" s="2"/>
      <c r="T45" s="91" t="s">
        <v>99</v>
      </c>
      <c r="U45" s="127" t="s">
        <v>128</v>
      </c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71.022000000000006</v>
      </c>
      <c r="Q46" s="2"/>
      <c r="T46" s="91" t="s">
        <v>100</v>
      </c>
      <c r="U46" s="127" t="s">
        <v>128</v>
      </c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70.345600000000005</v>
      </c>
      <c r="Q47" s="2"/>
      <c r="T47" s="91" t="s">
        <v>101</v>
      </c>
      <c r="U47" s="127">
        <v>86.36</v>
      </c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69.669200000000004</v>
      </c>
      <c r="Q48" s="2"/>
      <c r="T48" s="91" t="s">
        <v>102</v>
      </c>
      <c r="U48" s="127">
        <v>0.61025200000000002</v>
      </c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68.992800000000003</v>
      </c>
      <c r="Q49" s="2"/>
      <c r="T49" s="91" t="s">
        <v>103</v>
      </c>
      <c r="U49" s="127" t="s">
        <v>470</v>
      </c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68.316400000000002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67.64</v>
      </c>
      <c r="Q51" s="2"/>
      <c r="T51" s="91" t="s">
        <v>104</v>
      </c>
      <c r="U51" s="127" t="s">
        <v>585</v>
      </c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66.9636</v>
      </c>
      <c r="Q52" s="2"/>
      <c r="T52" s="91" t="s">
        <v>105</v>
      </c>
      <c r="U52" s="127" t="s">
        <v>305</v>
      </c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66.287199999999999</v>
      </c>
      <c r="Q53" s="2"/>
      <c r="T53" s="91" t="s">
        <v>106</v>
      </c>
      <c r="U53" s="128">
        <v>13351924</v>
      </c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65.610799999999998</v>
      </c>
      <c r="T54" s="91" t="s">
        <v>109</v>
      </c>
      <c r="U54" s="128">
        <v>7021070</v>
      </c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64.934399999999997</v>
      </c>
      <c r="T55" s="91" t="s">
        <v>107</v>
      </c>
      <c r="U55" s="127" t="s">
        <v>586</v>
      </c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64.257999999999996</v>
      </c>
      <c r="T56" s="91" t="s">
        <v>110</v>
      </c>
      <c r="U56" s="127">
        <v>15.69</v>
      </c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63.581599999999995</v>
      </c>
      <c r="T57" s="91" t="s">
        <v>111</v>
      </c>
      <c r="U57" s="127">
        <v>4.91</v>
      </c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0"/>
        <v>62.905200000000001</v>
      </c>
      <c r="T58" s="91" t="s">
        <v>108</v>
      </c>
      <c r="U58" s="127" t="s">
        <v>521</v>
      </c>
    </row>
    <row r="59" spans="1:21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  <c r="O59" s="81">
        <v>0.92</v>
      </c>
      <c r="P59" s="81">
        <f t="shared" si="0"/>
        <v>62.228800000000007</v>
      </c>
    </row>
    <row r="60" spans="1:21" x14ac:dyDescent="0.25">
      <c r="A60" s="371" t="s">
        <v>274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  <c r="O60" s="81">
        <v>0.91</v>
      </c>
      <c r="P60" s="81">
        <f t="shared" si="0"/>
        <v>61.552400000000006</v>
      </c>
    </row>
    <row r="61" spans="1:21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  <c r="O61" s="81">
        <v>0.9</v>
      </c>
      <c r="P61" s="81">
        <f t="shared" si="0"/>
        <v>60.876000000000005</v>
      </c>
    </row>
    <row r="62" spans="1:21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21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21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2">C84*(E84-D84)</f>
        <v>1.6000000000002501</v>
      </c>
      <c r="G84" s="363">
        <f t="shared" ref="G84:G107" si="3">D84*C84</f>
        <v>1817</v>
      </c>
      <c r="H84" s="364">
        <f t="shared" ref="H84:H107" si="4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2"/>
        <v>-28.199999999999932</v>
      </c>
      <c r="G85" s="363">
        <f t="shared" si="3"/>
        <v>1817</v>
      </c>
      <c r="H85" s="364">
        <f t="shared" si="4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2"/>
        <v>-5.7999999999998408</v>
      </c>
      <c r="G86" s="363">
        <f t="shared" si="3"/>
        <v>1817</v>
      </c>
      <c r="H86" s="364">
        <f t="shared" si="4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2"/>
        <v>-84.599999999999795</v>
      </c>
      <c r="G87" s="363">
        <f t="shared" si="3"/>
        <v>3568.2</v>
      </c>
      <c r="H87" s="364">
        <f t="shared" si="4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2"/>
        <v>-112.1999999999997</v>
      </c>
      <c r="G88" s="363">
        <f t="shared" si="3"/>
        <v>3568.2</v>
      </c>
      <c r="H88" s="364">
        <f t="shared" si="4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2"/>
        <v>-204.20000000000016</v>
      </c>
      <c r="G89" s="363">
        <f t="shared" si="3"/>
        <v>3568.2</v>
      </c>
      <c r="H89" s="364">
        <f t="shared" si="4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2"/>
        <v>-304.80000000000018</v>
      </c>
      <c r="G90" s="363">
        <f t="shared" si="3"/>
        <v>6830.4</v>
      </c>
      <c r="H90" s="364">
        <f t="shared" si="4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2"/>
        <v>-905.59999999999945</v>
      </c>
      <c r="G91" s="363">
        <f t="shared" si="3"/>
        <v>6830.4</v>
      </c>
      <c r="H91" s="364">
        <f t="shared" si="4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2"/>
        <v>-679.19999999999959</v>
      </c>
      <c r="G92" s="363">
        <f t="shared" si="3"/>
        <v>6830.4</v>
      </c>
      <c r="H92" s="364">
        <f t="shared" si="4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2"/>
        <v>-499.19999999999959</v>
      </c>
      <c r="G93" s="363">
        <f t="shared" si="3"/>
        <v>6830.4</v>
      </c>
      <c r="H93" s="364">
        <f t="shared" si="4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2"/>
        <v>-216.7999999999995</v>
      </c>
      <c r="G94" s="363">
        <f t="shared" si="3"/>
        <v>6830.4</v>
      </c>
      <c r="H94" s="364">
        <f t="shared" si="4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2"/>
        <v>-305.59999999999945</v>
      </c>
      <c r="G95" s="363">
        <f t="shared" si="3"/>
        <v>6830.4</v>
      </c>
      <c r="H95" s="364">
        <f t="shared" si="4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2"/>
        <v>-487.00000000000045</v>
      </c>
      <c r="G96" s="363">
        <f t="shared" si="3"/>
        <v>8436</v>
      </c>
      <c r="H96" s="364">
        <f t="shared" si="4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2"/>
        <v>-615.47040000000015</v>
      </c>
      <c r="G97" s="363">
        <f t="shared" si="3"/>
        <v>14610.4704</v>
      </c>
      <c r="H97" s="364">
        <f t="shared" si="4"/>
        <v>-4.2125296663959574E-2</v>
      </c>
      <c r="I97" s="363"/>
      <c r="J97" s="363"/>
      <c r="K97" s="363"/>
      <c r="L97" s="362"/>
    </row>
    <row r="98" spans="1:12" x14ac:dyDescent="0.25">
      <c r="A98" s="362" t="s">
        <v>368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2"/>
        <v>-614.26960000000065</v>
      </c>
      <c r="G98" s="363">
        <f t="shared" si="3"/>
        <v>11499.269600000001</v>
      </c>
      <c r="H98" s="364">
        <f t="shared" si="4"/>
        <v>-5.3418140574771865E-2</v>
      </c>
      <c r="I98" s="363"/>
      <c r="J98" s="363"/>
      <c r="K98" s="363"/>
      <c r="L98" s="362"/>
    </row>
    <row r="99" spans="1:12" x14ac:dyDescent="0.25">
      <c r="A99" s="362" t="s">
        <v>383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2"/>
        <v>-998.47080000000028</v>
      </c>
      <c r="G99" s="363">
        <f t="shared" si="3"/>
        <v>14462.470799999999</v>
      </c>
      <c r="H99" s="364">
        <f t="shared" si="4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383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2"/>
        <v>-327.07079999999962</v>
      </c>
      <c r="G100" s="363">
        <f t="shared" si="3"/>
        <v>14462.470799999999</v>
      </c>
      <c r="H100" s="364">
        <f t="shared" si="4"/>
        <v>-2.2615139869461284E-2</v>
      </c>
      <c r="I100" s="363"/>
      <c r="J100" s="363"/>
      <c r="K100" s="363"/>
      <c r="L100" s="362"/>
    </row>
    <row r="101" spans="1:12" x14ac:dyDescent="0.25">
      <c r="A101" s="362" t="s">
        <v>437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2"/>
        <v>-105.65999999999804</v>
      </c>
      <c r="G101" s="363">
        <f t="shared" si="3"/>
        <v>14462.46</v>
      </c>
      <c r="H101" s="364">
        <f t="shared" si="4"/>
        <v>-7.3058110445939376E-3</v>
      </c>
      <c r="I101" s="363"/>
      <c r="J101" s="363"/>
      <c r="K101" s="363"/>
      <c r="L101" s="362"/>
    </row>
    <row r="102" spans="1:12" x14ac:dyDescent="0.25">
      <c r="A102" s="362" t="s">
        <v>439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2"/>
        <v>-24.939599999999871</v>
      </c>
      <c r="G102" s="363">
        <f t="shared" si="3"/>
        <v>11247.339599999999</v>
      </c>
      <c r="H102" s="364">
        <f t="shared" si="4"/>
        <v>-2.2173776988115368E-3</v>
      </c>
      <c r="I102" s="363"/>
      <c r="J102" s="363"/>
      <c r="K102" s="363"/>
      <c r="L102" s="362"/>
    </row>
    <row r="103" spans="1:12" x14ac:dyDescent="0.25">
      <c r="A103" s="362" t="s">
        <v>439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2"/>
        <v>159.86040000000116</v>
      </c>
      <c r="G103" s="363">
        <f t="shared" si="3"/>
        <v>11247.339599999999</v>
      </c>
      <c r="H103" s="364">
        <f t="shared" si="4"/>
        <v>1.4213174464830881E-2</v>
      </c>
      <c r="I103" s="363"/>
      <c r="J103" s="363"/>
      <c r="K103" s="363"/>
      <c r="L103" s="362"/>
    </row>
    <row r="104" spans="1:12" x14ac:dyDescent="0.25">
      <c r="A104" s="362" t="s">
        <v>468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2"/>
        <v>129.52199999999976</v>
      </c>
      <c r="G104" s="363">
        <f t="shared" si="3"/>
        <v>4751.4780000000001</v>
      </c>
      <c r="H104" s="364">
        <f t="shared" si="4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2"/>
        <v>32.322000000000344</v>
      </c>
      <c r="G105" s="363">
        <f t="shared" si="3"/>
        <v>4751.4780000000001</v>
      </c>
      <c r="H105" s="364">
        <f t="shared" si="4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2"/>
        <v>-42.078000000000202</v>
      </c>
      <c r="G106" s="363">
        <f t="shared" si="3"/>
        <v>4751.4780000000001</v>
      </c>
      <c r="H106" s="364">
        <f t="shared" si="4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2"/>
        <v>-73.800000000000239</v>
      </c>
      <c r="G107" s="363">
        <f t="shared" si="3"/>
        <v>4751.3999999999996</v>
      </c>
      <c r="H107" s="364">
        <f t="shared" si="4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140" priority="15">
      <formula>F57&gt;0</formula>
    </cfRule>
    <cfRule type="expression" dxfId="2139" priority="16">
      <formula>F57&lt;0</formula>
    </cfRule>
  </conditionalFormatting>
  <conditionalFormatting sqref="Q7">
    <cfRule type="expression" dxfId="2138" priority="13">
      <formula>Q7&gt;0</formula>
    </cfRule>
    <cfRule type="expression" dxfId="2137" priority="14">
      <formula>Q7&lt;0</formula>
    </cfRule>
  </conditionalFormatting>
  <conditionalFormatting sqref="Q8">
    <cfRule type="expression" dxfId="2136" priority="11">
      <formula>Q8&gt;0</formula>
    </cfRule>
    <cfRule type="expression" dxfId="2135" priority="12">
      <formula>Q8&lt;0</formula>
    </cfRule>
  </conditionalFormatting>
  <conditionalFormatting sqref="F25:F56">
    <cfRule type="expression" dxfId="2134" priority="9">
      <formula>F25&gt;0</formula>
    </cfRule>
    <cfRule type="expression" dxfId="2133" priority="10">
      <formula>F25&lt;0</formula>
    </cfRule>
  </conditionalFormatting>
  <conditionalFormatting sqref="H25:H56">
    <cfRule type="expression" dxfId="2132" priority="7">
      <formula>H25&gt;0</formula>
    </cfRule>
    <cfRule type="expression" dxfId="2131" priority="8">
      <formula>H25&lt;0</formula>
    </cfRule>
  </conditionalFormatting>
  <conditionalFormatting sqref="M58">
    <cfRule type="expression" dxfId="2130" priority="5">
      <formula>M58&gt;0</formula>
    </cfRule>
    <cfRule type="expression" dxfId="2129" priority="6">
      <formula>M58&lt;0</formula>
    </cfRule>
  </conditionalFormatting>
  <conditionalFormatting sqref="F84:F115">
    <cfRule type="expression" dxfId="2128" priority="3">
      <formula>F84&gt;0</formula>
    </cfRule>
    <cfRule type="expression" dxfId="2127" priority="4">
      <formula>F84&lt;0</formula>
    </cfRule>
  </conditionalFormatting>
  <conditionalFormatting sqref="H84:H115">
    <cfRule type="expression" dxfId="2126" priority="1">
      <formula>H84&gt;0</formula>
    </cfRule>
    <cfRule type="expression" dxfId="2125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249.77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249.77</v>
      </c>
      <c r="R4" s="495">
        <v>6.4000000000000003E-3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</row>
    <row r="10" spans="1:21" x14ac:dyDescent="0.25">
      <c r="H10" s="70"/>
      <c r="O10" s="11" t="s">
        <v>207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669</v>
      </c>
      <c r="L24" s="220" t="s">
        <v>675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2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2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274.74700000000001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272.24930000000001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269.75160000000005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267.25390000000004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264.75620000000004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262.25850000000003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259.76080000000002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257.26310000000001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254.76540000000003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252.26770000000002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249.77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247.2723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244.77459999999999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242.27690000000001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239.7792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237.28149999999999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234.78379999999999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232.28610000000003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229.78840000000002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227.29070000000002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224.79300000000001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24" priority="21">
      <formula>F47&gt;0</formula>
    </cfRule>
    <cfRule type="expression" dxfId="2123" priority="22">
      <formula>F47&lt;0</formula>
    </cfRule>
  </conditionalFormatting>
  <conditionalFormatting sqref="Q7">
    <cfRule type="expression" dxfId="2122" priority="19">
      <formula>Q7&gt;0</formula>
    </cfRule>
    <cfRule type="expression" dxfId="2121" priority="20">
      <formula>Q7&lt;0</formula>
    </cfRule>
  </conditionalFormatting>
  <conditionalFormatting sqref="Q8">
    <cfRule type="expression" dxfId="2120" priority="17">
      <formula>Q8&gt;0</formula>
    </cfRule>
    <cfRule type="expression" dxfId="2119" priority="18">
      <formula>Q8&lt;0</formula>
    </cfRule>
  </conditionalFormatting>
  <conditionalFormatting sqref="F25:F46">
    <cfRule type="expression" dxfId="2118" priority="15">
      <formula>F25&gt;0</formula>
    </cfRule>
    <cfRule type="expression" dxfId="2117" priority="16">
      <formula>F25&lt;0</formula>
    </cfRule>
  </conditionalFormatting>
  <conditionalFormatting sqref="H25:H46">
    <cfRule type="expression" dxfId="2116" priority="13">
      <formula>H25&gt;0</formula>
    </cfRule>
    <cfRule type="expression" dxfId="2115" priority="14">
      <formula>H25&lt;0</formula>
    </cfRule>
  </conditionalFormatting>
  <conditionalFormatting sqref="F89:F110">
    <cfRule type="expression" dxfId="2114" priority="11">
      <formula>F89&gt;0</formula>
    </cfRule>
    <cfRule type="expression" dxfId="2113" priority="12">
      <formula>F89&lt;0</formula>
    </cfRule>
  </conditionalFormatting>
  <conditionalFormatting sqref="H89:H110">
    <cfRule type="expression" dxfId="2112" priority="9">
      <formula>H89&gt;0</formula>
    </cfRule>
    <cfRule type="expression" dxfId="2111" priority="10">
      <formula>H89&lt;0</formula>
    </cfRule>
  </conditionalFormatting>
  <conditionalFormatting sqref="Q10">
    <cfRule type="expression" dxfId="2110" priority="7">
      <formula>Q10&gt;0</formula>
    </cfRule>
    <cfRule type="expression" dxfId="2109" priority="8">
      <formula>Q10&lt;0</formula>
    </cfRule>
  </conditionalFormatting>
  <conditionalFormatting sqref="J25:J38">
    <cfRule type="expression" dxfId="2108" priority="5">
      <formula>J25&gt;0</formula>
    </cfRule>
    <cfRule type="expression" dxfId="2107" priority="6">
      <formula>J25&lt;0</formula>
    </cfRule>
  </conditionalFormatting>
  <conditionalFormatting sqref="K25:K38">
    <cfRule type="expression" dxfId="2106" priority="3">
      <formula>K25&gt;0</formula>
    </cfRule>
    <cfRule type="expression" dxfId="2105" priority="4">
      <formula>K25&lt;0</formula>
    </cfRule>
  </conditionalFormatting>
  <conditionalFormatting sqref="L25:L38">
    <cfRule type="expression" dxfId="2104" priority="1">
      <formula>L25&gt;0</formula>
    </cfRule>
    <cfRule type="expression" dxfId="2103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767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23.5703125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C90-H90</f>
        <v>1700</v>
      </c>
      <c r="U2" s="121">
        <v>42804</v>
      </c>
      <c r="V2" s="837" t="s">
        <v>676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68" si="1">H3*I3-J3</f>
        <v>3119.93</v>
      </c>
      <c r="L3" s="72">
        <v>42846</v>
      </c>
      <c r="M3" s="43">
        <v>3.25</v>
      </c>
      <c r="O3" s="11" t="s">
        <v>58</v>
      </c>
      <c r="Q3" s="481">
        <f>IF(Q2=0, Q4, (F90-K90-M90)/Q2)</f>
        <v>5.4859588235293799</v>
      </c>
      <c r="U3" s="121">
        <v>42866</v>
      </c>
      <c r="V3" s="837" t="s">
        <v>677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21.91</v>
      </c>
      <c r="R4" s="475">
        <v>3.8899999999999997E-2</v>
      </c>
      <c r="U4" s="121">
        <v>43088</v>
      </c>
      <c r="V4" s="737" t="s">
        <v>778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732</v>
      </c>
      <c r="O5" s="11" t="s">
        <v>67</v>
      </c>
      <c r="Q5" s="3">
        <f>Q4*Q2</f>
        <v>37247</v>
      </c>
      <c r="U5" s="121">
        <v>43096</v>
      </c>
      <c r="V5" s="737" t="s">
        <v>783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9326.1299999999464</v>
      </c>
      <c r="U6" s="121">
        <v>43103</v>
      </c>
      <c r="V6" s="737" t="s">
        <v>833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42536.44100000168</v>
      </c>
      <c r="R7" s="29">
        <v>43297</v>
      </c>
      <c r="V7" s="737" t="s">
        <v>834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K90+M90-F90+Q2*Q4</f>
        <v>27920.870000000054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208</v>
      </c>
      <c r="Q9" s="134">
        <f>IF(Q2=0, 0, Q8/Q6)</f>
        <v>2.9938323827783031</v>
      </c>
      <c r="U9" s="121">
        <v>43106</v>
      </c>
      <c r="V9" s="748" t="s">
        <v>854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207</v>
      </c>
      <c r="P10" s="33"/>
      <c r="Q10" s="2">
        <f>M502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9.1282519397535376E-3</v>
      </c>
      <c r="R11">
        <f>0.05</f>
        <v>0.05</v>
      </c>
      <c r="U11" s="121">
        <v>43117</v>
      </c>
      <c r="V11" s="737" t="s">
        <v>890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946</v>
      </c>
      <c r="Q12" s="1" t="s">
        <v>1122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973</v>
      </c>
      <c r="Q13" s="2">
        <f>Q4/0.63</f>
        <v>34.777777777777779</v>
      </c>
      <c r="U13" s="121">
        <v>43120</v>
      </c>
      <c r="V13" s="737" t="s">
        <v>896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1111</v>
      </c>
      <c r="Q14" s="736">
        <v>0.17199999999999999</v>
      </c>
      <c r="V14" s="737" t="s">
        <v>899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11" t="s">
        <v>1040</v>
      </c>
      <c r="Q15" s="29">
        <v>43285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898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897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924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51" t="s">
        <v>78</v>
      </c>
      <c r="P23" s="851"/>
      <c r="V23" s="737" t="s">
        <v>947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26.7302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26.511099999999999</v>
      </c>
      <c r="U25" s="121">
        <v>43161</v>
      </c>
      <c r="V25" s="737" t="s">
        <v>948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26.291999999999998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26.072900000000001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25.8538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25.634699999999999</v>
      </c>
      <c r="V29" s="737" t="s">
        <v>1039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25.415599999999998</v>
      </c>
      <c r="V30" s="737" t="s">
        <v>1047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25.196499999999997</v>
      </c>
      <c r="V31" s="737" t="s">
        <v>1050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24.977399999999999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24.758299999999998</v>
      </c>
      <c r="U33" s="121">
        <v>43238</v>
      </c>
      <c r="V33" s="748" t="s">
        <v>1092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24.539200000000001</v>
      </c>
      <c r="V34" s="737" t="s">
        <v>1093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24.320100000000004</v>
      </c>
      <c r="V35" s="737" t="s">
        <v>1094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24.101000000000003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23.881900000000002</v>
      </c>
      <c r="U37" s="121">
        <v>43285</v>
      </c>
      <c r="V37" s="737" t="s">
        <v>1159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23.662800000000001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23.4437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23.224600000000002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23.005500000000001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22.7864</v>
      </c>
      <c r="U42" s="849">
        <v>43306</v>
      </c>
      <c r="V42" s="737" t="s">
        <v>897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22.567299999999999</v>
      </c>
      <c r="U43" s="849"/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22.348200000000002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22.129100000000001</v>
      </c>
      <c r="U45" s="849">
        <v>43319</v>
      </c>
      <c r="V45" s="737" t="s">
        <v>1192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21.91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21.690899999999999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21.471799999999998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21.252700000000001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21.0336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20.814499999999999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20.595399999999998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20.376300000000001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20.1572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19.938100000000002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19.719000000000001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19.4999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19.280799999999999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34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19.061699999999998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34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18.842600000000001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34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18.6235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34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 t="shared" ref="F63" si="4">C63*D63+E63</f>
        <v>6328</v>
      </c>
      <c r="G63" s="434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6" si="5">C64*D64+E64</f>
        <v>7760</v>
      </c>
      <c r="G64" s="434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5"/>
        <v>7875</v>
      </c>
      <c r="G65" s="434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5"/>
        <v>7910</v>
      </c>
      <c r="G66" s="434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5"/>
        <v>7720</v>
      </c>
      <c r="G67" s="434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5"/>
        <v>5900</v>
      </c>
      <c r="G68" s="434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5"/>
        <v>6360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5"/>
        <v>3140</v>
      </c>
      <c r="G70" s="29"/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5"/>
        <v>3090</v>
      </c>
      <c r="G71" s="29"/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5"/>
        <v>3136</v>
      </c>
      <c r="G72" s="29"/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5"/>
        <v>3050</v>
      </c>
      <c r="G73" s="29"/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5"/>
        <v>6568.0000000000009</v>
      </c>
      <c r="G74" s="29"/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5"/>
        <v>6440.0000000000009</v>
      </c>
      <c r="G75" s="2"/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5"/>
        <v>5456.7</v>
      </c>
      <c r="G76" s="29"/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5"/>
        <v>5946</v>
      </c>
      <c r="G77" s="29"/>
      <c r="AA77" s="2"/>
      <c r="AD77" s="2"/>
      <c r="AG77" s="2"/>
      <c r="AI77" s="2"/>
    </row>
    <row r="78" spans="1:35" x14ac:dyDescent="0.25">
      <c r="B78" s="476">
        <v>43245</v>
      </c>
      <c r="C78" s="4">
        <v>500</v>
      </c>
      <c r="D78" s="231">
        <v>20.68</v>
      </c>
      <c r="E78" s="3">
        <v>0</v>
      </c>
      <c r="F78" s="3">
        <f t="shared" si="5"/>
        <v>10340</v>
      </c>
      <c r="G78" s="29"/>
      <c r="AA78" s="2"/>
      <c r="AD78" s="2"/>
      <c r="AG78" s="2"/>
      <c r="AI78" s="2"/>
    </row>
    <row r="79" spans="1:35" x14ac:dyDescent="0.25">
      <c r="B79" s="476">
        <v>43245</v>
      </c>
      <c r="C79" s="4">
        <v>500</v>
      </c>
      <c r="D79" s="78">
        <v>20.48</v>
      </c>
      <c r="E79" s="2">
        <v>0</v>
      </c>
      <c r="F79" s="2">
        <f t="shared" si="5"/>
        <v>10240</v>
      </c>
      <c r="G79" s="29"/>
      <c r="AA79" s="2"/>
      <c r="AD79" s="2"/>
      <c r="AG79" s="2"/>
      <c r="AI79" s="2"/>
    </row>
    <row r="80" spans="1:35" x14ac:dyDescent="0.25">
      <c r="A80" s="852" t="s">
        <v>1136</v>
      </c>
      <c r="B80" s="735">
        <v>43266</v>
      </c>
      <c r="C80" s="7">
        <v>200</v>
      </c>
      <c r="D80" s="77">
        <v>20.65</v>
      </c>
      <c r="E80" s="43">
        <v>0</v>
      </c>
      <c r="F80" s="43">
        <f t="shared" si="5"/>
        <v>4130</v>
      </c>
      <c r="G80" s="29"/>
      <c r="AA80" s="2"/>
      <c r="AD80" s="2"/>
      <c r="AG80" s="2"/>
      <c r="AI80" s="2"/>
    </row>
    <row r="81" spans="1:35" x14ac:dyDescent="0.25">
      <c r="A81" s="852"/>
      <c r="B81" s="735">
        <v>43266</v>
      </c>
      <c r="C81" s="7">
        <v>100</v>
      </c>
      <c r="D81" s="77">
        <v>20.350000000000001</v>
      </c>
      <c r="E81" s="43">
        <v>0</v>
      </c>
      <c r="F81" s="43">
        <f t="shared" si="5"/>
        <v>2035.0000000000002</v>
      </c>
      <c r="G81" s="29"/>
      <c r="AA81" s="2"/>
      <c r="AD81" s="2"/>
      <c r="AG81" s="2"/>
      <c r="AI81" s="2"/>
    </row>
    <row r="82" spans="1:35" x14ac:dyDescent="0.25">
      <c r="A82" s="852"/>
      <c r="B82" s="735">
        <v>43266</v>
      </c>
      <c r="C82" s="4">
        <v>500</v>
      </c>
      <c r="D82" s="231">
        <v>19.98</v>
      </c>
      <c r="E82" s="3">
        <v>-0.5</v>
      </c>
      <c r="F82" s="3">
        <f t="shared" si="5"/>
        <v>9989.5</v>
      </c>
      <c r="G82" s="29"/>
      <c r="AA82" s="2"/>
      <c r="AD82" s="2"/>
      <c r="AG82" s="2"/>
      <c r="AI82" s="2"/>
    </row>
    <row r="83" spans="1:35" x14ac:dyDescent="0.25">
      <c r="B83" s="735">
        <v>43272</v>
      </c>
      <c r="C83" s="4">
        <v>200</v>
      </c>
      <c r="D83" s="78">
        <v>20.05</v>
      </c>
      <c r="E83" s="2">
        <v>0</v>
      </c>
      <c r="F83" s="2">
        <f t="shared" si="5"/>
        <v>4010</v>
      </c>
      <c r="G83" s="29"/>
      <c r="AA83" s="2"/>
      <c r="AD83" s="2"/>
      <c r="AG83" s="2"/>
      <c r="AI83" s="2"/>
    </row>
    <row r="84" spans="1:35" x14ac:dyDescent="0.25">
      <c r="B84" s="735">
        <v>43276</v>
      </c>
      <c r="C84" s="7">
        <v>200</v>
      </c>
      <c r="D84" s="77">
        <v>20.48</v>
      </c>
      <c r="E84" s="43">
        <v>0</v>
      </c>
      <c r="F84" s="43">
        <f t="shared" si="5"/>
        <v>4096</v>
      </c>
      <c r="G84" s="29"/>
      <c r="AA84" s="2"/>
      <c r="AD84" s="2"/>
      <c r="AG84" s="2"/>
      <c r="AI84" s="2"/>
    </row>
    <row r="85" spans="1:35" x14ac:dyDescent="0.25">
      <c r="B85" s="735">
        <v>43286</v>
      </c>
      <c r="C85" s="7">
        <v>200</v>
      </c>
      <c r="D85" s="77">
        <v>20.88</v>
      </c>
      <c r="E85" s="43">
        <v>0</v>
      </c>
      <c r="F85" s="43">
        <f t="shared" si="5"/>
        <v>4176</v>
      </c>
      <c r="G85" s="29"/>
      <c r="AA85" s="2"/>
      <c r="AD85" s="2"/>
      <c r="AG85" s="2"/>
      <c r="AI85" s="2"/>
    </row>
    <row r="86" spans="1:35" x14ac:dyDescent="0.25">
      <c r="B86" s="735">
        <v>43286</v>
      </c>
      <c r="C86" s="7">
        <v>300</v>
      </c>
      <c r="D86" s="77">
        <v>20.68</v>
      </c>
      <c r="E86" s="43">
        <v>0</v>
      </c>
      <c r="F86" s="43">
        <f t="shared" si="5"/>
        <v>6204</v>
      </c>
      <c r="G86" s="29"/>
      <c r="AA86" s="2"/>
      <c r="AD86" s="2"/>
      <c r="AG86" s="2"/>
      <c r="AI86" s="2"/>
    </row>
    <row r="87" spans="1:35" x14ac:dyDescent="0.25">
      <c r="G87" s="29"/>
      <c r="AA87" s="2"/>
      <c r="AD87" s="2"/>
      <c r="AG87" s="2"/>
      <c r="AI87" s="2"/>
    </row>
    <row r="88" spans="1:35" x14ac:dyDescent="0.25">
      <c r="G88" s="29"/>
      <c r="AA88" s="2"/>
      <c r="AD88" s="2"/>
      <c r="AG88" s="2"/>
      <c r="AI88" s="2"/>
    </row>
    <row r="89" spans="1:35" x14ac:dyDescent="0.25">
      <c r="G89" s="29"/>
    </row>
    <row r="90" spans="1:35" x14ac:dyDescent="0.25">
      <c r="A90" s="31" t="s">
        <v>81</v>
      </c>
      <c r="B90" s="478"/>
      <c r="C90" s="71">
        <f>SUM(C2:C89)</f>
        <v>26000</v>
      </c>
      <c r="D90" s="18"/>
      <c r="E90" s="18"/>
      <c r="F90" s="18">
        <f>SUM(F2:F89)</f>
        <v>416051.05</v>
      </c>
      <c r="G90" s="14"/>
      <c r="H90" s="71">
        <f>SUM(H2:H89)</f>
        <v>24300</v>
      </c>
      <c r="I90" s="79"/>
      <c r="J90" s="18"/>
      <c r="K90" s="18">
        <f>SUM(K2:K89)</f>
        <v>405011.67000000004</v>
      </c>
      <c r="L90" s="14"/>
      <c r="M90" s="18">
        <f>SUM(M2:M89)</f>
        <v>1713.25</v>
      </c>
    </row>
    <row r="91" spans="1:35" ht="15.75" thickBot="1" x14ac:dyDescent="0.3">
      <c r="A91" s="341" t="s">
        <v>193</v>
      </c>
      <c r="B91" s="479"/>
      <c r="C91" s="343">
        <f>SumByColor($A$91, C2:C89)</f>
        <v>24000</v>
      </c>
      <c r="D91" s="343"/>
      <c r="E91" s="343"/>
      <c r="F91" s="344">
        <f>SumByColor($A$91, F2:F89)</f>
        <v>375307</v>
      </c>
      <c r="G91" s="343"/>
      <c r="H91" s="343">
        <f>SumByColor($A$91, H2:H89)</f>
        <v>24000</v>
      </c>
      <c r="I91" s="343"/>
      <c r="J91" s="344"/>
      <c r="K91" s="344">
        <f>SumByColor($A$91, K2:K89)</f>
        <v>398542</v>
      </c>
      <c r="L91" s="343"/>
      <c r="M91" s="344">
        <f>SumByColor($A$91, M2:M89)</f>
        <v>1713</v>
      </c>
    </row>
    <row r="94" spans="1:35" x14ac:dyDescent="0.25">
      <c r="B94" s="480" t="s">
        <v>113</v>
      </c>
      <c r="C94" s="182" t="s">
        <v>146</v>
      </c>
      <c r="D94" s="190" t="s">
        <v>145</v>
      </c>
      <c r="E94" s="185" t="s">
        <v>147</v>
      </c>
      <c r="F94" s="186" t="s">
        <v>65</v>
      </c>
      <c r="G94" s="220" t="s">
        <v>151</v>
      </c>
      <c r="H94" s="186" t="s">
        <v>88</v>
      </c>
      <c r="I94" s="220" t="s">
        <v>154</v>
      </c>
      <c r="J94" s="220" t="s">
        <v>497</v>
      </c>
      <c r="K94" s="220" t="s">
        <v>150</v>
      </c>
      <c r="L94" s="220" t="s">
        <v>923</v>
      </c>
    </row>
    <row r="95" spans="1:35" x14ac:dyDescent="0.25">
      <c r="A95" t="s">
        <v>429</v>
      </c>
      <c r="B95" s="150">
        <v>42787</v>
      </c>
      <c r="C95" s="10">
        <v>5700</v>
      </c>
      <c r="D95" s="233">
        <v>16.667088</v>
      </c>
      <c r="E95" s="39">
        <v>16.38</v>
      </c>
      <c r="F95" s="39">
        <f t="shared" ref="F95" si="6">C95*(E95-D95)</f>
        <v>-1636.4016000000038</v>
      </c>
      <c r="G95" s="39">
        <f t="shared" ref="G95" si="7">D95*C95</f>
        <v>95002.401599999997</v>
      </c>
      <c r="H95" s="222">
        <f t="shared" ref="H95" si="8">(E95-D95)/D95</f>
        <v>-1.7224844555929666E-2</v>
      </c>
      <c r="I95" s="39"/>
      <c r="J95" s="39"/>
      <c r="K95" s="39"/>
      <c r="L95" s="39"/>
    </row>
    <row r="96" spans="1:35" x14ac:dyDescent="0.25">
      <c r="A96" t="s">
        <v>441</v>
      </c>
      <c r="B96" s="150">
        <v>42788</v>
      </c>
      <c r="C96" s="425">
        <v>6000</v>
      </c>
      <c r="D96" s="642">
        <v>16.620999999999999</v>
      </c>
      <c r="E96" s="39">
        <v>15.76</v>
      </c>
      <c r="F96" s="39">
        <f t="shared" ref="F96" si="9">C96*(E96-D96)</f>
        <v>-5165.9999999999936</v>
      </c>
      <c r="G96" s="39">
        <f t="shared" ref="G96" si="10">D96*C96</f>
        <v>99725.999999999985</v>
      </c>
      <c r="H96" s="222">
        <f t="shared" ref="H96" si="11">(E96-D96)/D96</f>
        <v>-5.1801937308224473E-2</v>
      </c>
      <c r="I96" s="39"/>
      <c r="J96" s="39"/>
      <c r="K96" s="39"/>
      <c r="L96" s="39"/>
    </row>
    <row r="97" spans="1:12" x14ac:dyDescent="0.25">
      <c r="A97">
        <v>600</v>
      </c>
      <c r="B97" s="150">
        <v>42795</v>
      </c>
      <c r="C97" s="10">
        <v>5500</v>
      </c>
      <c r="D97" s="233">
        <v>16.619900000000001</v>
      </c>
      <c r="E97" s="39">
        <v>16.45</v>
      </c>
      <c r="F97" s="39">
        <f t="shared" ref="F97" si="12">C97*(E97-D97)</f>
        <v>-934.45000000001062</v>
      </c>
      <c r="G97" s="39">
        <f t="shared" ref="G97" si="13">D97*C97</f>
        <v>91409.450000000012</v>
      </c>
      <c r="H97" s="222">
        <f t="shared" ref="H97" si="14">(E97-D97)/D97</f>
        <v>-1.0222684853699596E-2</v>
      </c>
      <c r="I97" s="39">
        <v>16.399999999999999</v>
      </c>
      <c r="J97" s="39"/>
      <c r="K97" s="39">
        <v>13681</v>
      </c>
      <c r="L97" s="39"/>
    </row>
    <row r="98" spans="1:12" x14ac:dyDescent="0.25">
      <c r="A98">
        <v>1400</v>
      </c>
      <c r="B98" s="150">
        <v>42796</v>
      </c>
      <c r="C98" s="10">
        <v>6000</v>
      </c>
      <c r="D98" s="233">
        <v>16.589099999999998</v>
      </c>
      <c r="E98" s="39">
        <v>16.14</v>
      </c>
      <c r="F98" s="39">
        <f t="shared" ref="F98" si="15">C98*(E98-D98)</f>
        <v>-2694.5999999999872</v>
      </c>
      <c r="G98" s="39">
        <f t="shared" ref="G98" si="16">D98*C98</f>
        <v>99534.599999999991</v>
      </c>
      <c r="H98" s="222">
        <f t="shared" ref="H98" si="17">(E98-D98)/D98</f>
        <v>-2.7071993055681011E-2</v>
      </c>
      <c r="I98" s="39">
        <v>16.25</v>
      </c>
      <c r="J98" s="39"/>
      <c r="K98" s="39">
        <v>11921</v>
      </c>
      <c r="L98" s="39"/>
    </row>
    <row r="99" spans="1:12" x14ac:dyDescent="0.25">
      <c r="A99">
        <v>3600</v>
      </c>
      <c r="B99" s="150">
        <v>42798</v>
      </c>
      <c r="C99" s="10">
        <v>6000</v>
      </c>
      <c r="D99" s="233">
        <v>16.589099999999998</v>
      </c>
      <c r="E99" s="39">
        <v>16.14</v>
      </c>
      <c r="F99" s="39">
        <f t="shared" ref="F99" si="18">C99*(E99-D99)</f>
        <v>-2694.5999999999872</v>
      </c>
      <c r="G99" s="39">
        <f t="shared" ref="G99" si="19">D99*C99</f>
        <v>99534.599999999991</v>
      </c>
      <c r="H99" s="222">
        <f t="shared" ref="H99" si="20">(E99-D99)/D99</f>
        <v>-2.7071993055681011E-2</v>
      </c>
      <c r="I99" s="39">
        <v>16.25</v>
      </c>
      <c r="J99" s="39"/>
      <c r="K99" s="39">
        <v>12161</v>
      </c>
      <c r="L99" s="39"/>
    </row>
    <row r="100" spans="1:12" x14ac:dyDescent="0.25">
      <c r="A100">
        <v>3600</v>
      </c>
      <c r="B100" s="150">
        <v>42800</v>
      </c>
      <c r="C100" s="10">
        <v>6000</v>
      </c>
      <c r="D100" s="233">
        <v>16.589099999999998</v>
      </c>
      <c r="E100" s="39">
        <v>16.47</v>
      </c>
      <c r="F100" s="39">
        <f t="shared" ref="F100:F101" si="21">C100*(E100-D100)</f>
        <v>-714.59999999999718</v>
      </c>
      <c r="G100" s="39">
        <f t="shared" ref="G100:G101" si="22">D100*C100</f>
        <v>99534.599999999991</v>
      </c>
      <c r="H100" s="222">
        <f t="shared" ref="H100:H101" si="23">(E100-D100)/D100</f>
        <v>-7.1794129880463405E-3</v>
      </c>
      <c r="I100" s="39">
        <v>16.25</v>
      </c>
      <c r="J100" s="39"/>
      <c r="K100" s="39">
        <v>13901</v>
      </c>
      <c r="L100" s="39"/>
    </row>
    <row r="101" spans="1:12" x14ac:dyDescent="0.25">
      <c r="A101">
        <v>3600</v>
      </c>
      <c r="B101" s="150">
        <v>42802</v>
      </c>
      <c r="C101" s="10">
        <v>6700</v>
      </c>
      <c r="D101" s="233">
        <v>16.427</v>
      </c>
      <c r="E101" s="39">
        <v>14.87</v>
      </c>
      <c r="F101" s="39">
        <f t="shared" si="21"/>
        <v>-10431.900000000003</v>
      </c>
      <c r="G101" s="39">
        <f t="shared" si="22"/>
        <v>110060.9</v>
      </c>
      <c r="H101" s="223">
        <f t="shared" si="23"/>
        <v>-9.478297924149269E-2</v>
      </c>
      <c r="I101" s="39"/>
      <c r="J101" s="39"/>
      <c r="K101" s="39">
        <v>4183.99</v>
      </c>
      <c r="L101" s="39"/>
    </row>
    <row r="102" spans="1:12" x14ac:dyDescent="0.25">
      <c r="A102">
        <v>3600</v>
      </c>
      <c r="B102" s="150">
        <v>42803</v>
      </c>
      <c r="C102" s="10">
        <v>6000</v>
      </c>
      <c r="D102" s="233">
        <v>16.50263</v>
      </c>
      <c r="E102" s="39">
        <v>16.07</v>
      </c>
      <c r="F102" s="39">
        <f t="shared" ref="F102" si="24">C102*(E102-D102)</f>
        <v>-2595.7799999999979</v>
      </c>
      <c r="G102" s="39">
        <f t="shared" ref="G102" si="25">D102*C102</f>
        <v>99015.78</v>
      </c>
      <c r="H102" s="223">
        <f t="shared" ref="H102" si="26">(E102-D102)/D102</f>
        <v>-2.6215821356959445E-2</v>
      </c>
      <c r="I102" s="39">
        <v>16.25</v>
      </c>
      <c r="J102" s="39"/>
      <c r="K102" s="39">
        <v>12020</v>
      </c>
      <c r="L102" s="39"/>
    </row>
    <row r="103" spans="1:12" x14ac:dyDescent="0.25">
      <c r="A103">
        <v>4200</v>
      </c>
      <c r="B103" s="150">
        <v>42805</v>
      </c>
      <c r="C103" s="425">
        <v>6000</v>
      </c>
      <c r="D103" s="642">
        <v>16.447600000000001</v>
      </c>
      <c r="E103" s="39">
        <v>16.16</v>
      </c>
      <c r="F103" s="39">
        <f t="shared" ref="F103" si="27">C103*(E103-D103)</f>
        <v>-1725.6000000000072</v>
      </c>
      <c r="G103" s="39">
        <f t="shared" ref="G103" si="28">D103*C103</f>
        <v>98685.6</v>
      </c>
      <c r="H103" s="223">
        <f t="shared" ref="H103" si="29">(E103-D103)/D103</f>
        <v>-1.7485833799460174E-2</v>
      </c>
      <c r="I103" s="39" t="s">
        <v>185</v>
      </c>
      <c r="J103" s="39"/>
      <c r="K103" s="39">
        <v>12890</v>
      </c>
      <c r="L103" s="39"/>
    </row>
    <row r="104" spans="1:12" x14ac:dyDescent="0.25">
      <c r="A104">
        <v>4200</v>
      </c>
      <c r="B104" s="150">
        <v>42807</v>
      </c>
      <c r="C104" s="10">
        <v>6000</v>
      </c>
      <c r="D104" s="233">
        <v>16.447600000000001</v>
      </c>
      <c r="E104" s="39">
        <v>15.84</v>
      </c>
      <c r="F104" s="39">
        <f t="shared" ref="F104" si="30">C104*(E104-D104)</f>
        <v>-3645.600000000009</v>
      </c>
      <c r="G104" s="39">
        <f t="shared" ref="G104" si="31">D104*C104</f>
        <v>98685.6</v>
      </c>
      <c r="H104" s="223">
        <f t="shared" ref="H104" si="32">(E104-D104)/D104</f>
        <v>-3.6941559862837217E-2</v>
      </c>
      <c r="I104" s="39"/>
      <c r="J104" s="39"/>
      <c r="K104" s="39">
        <v>10970</v>
      </c>
      <c r="L104" s="39"/>
    </row>
    <row r="105" spans="1:12" x14ac:dyDescent="0.25">
      <c r="A105">
        <v>3700</v>
      </c>
      <c r="B105" s="150">
        <v>42808</v>
      </c>
      <c r="C105" s="425">
        <v>6000</v>
      </c>
      <c r="D105" s="642">
        <v>16.422999999999998</v>
      </c>
      <c r="E105" s="39">
        <v>15.32</v>
      </c>
      <c r="F105" s="39">
        <f t="shared" ref="F105" si="33">C105*(E105-D105)</f>
        <v>-6617.9999999999882</v>
      </c>
      <c r="G105" s="39">
        <f t="shared" ref="G105" si="34">D105*C105</f>
        <v>98537.999999999985</v>
      </c>
      <c r="H105" s="223">
        <f t="shared" ref="H105" si="35">(E105-D105)/D105</f>
        <v>-6.7161907081531885E-2</v>
      </c>
      <c r="I105" s="39">
        <v>16.25</v>
      </c>
      <c r="J105" s="39">
        <v>41.23</v>
      </c>
      <c r="K105" s="39">
        <v>8000</v>
      </c>
      <c r="L105" s="39"/>
    </row>
    <row r="106" spans="1:12" x14ac:dyDescent="0.25">
      <c r="A106">
        <v>3700</v>
      </c>
      <c r="B106" s="150">
        <v>42809</v>
      </c>
      <c r="C106" s="10">
        <v>6000</v>
      </c>
      <c r="D106" s="233">
        <v>16.422999999999998</v>
      </c>
      <c r="E106" s="39">
        <v>15.56</v>
      </c>
      <c r="F106" s="39">
        <f t="shared" ref="F106" si="36">C106*(E106-D106)</f>
        <v>-5177.9999999999864</v>
      </c>
      <c r="G106" s="39">
        <f t="shared" ref="G106" si="37">D106*C106</f>
        <v>98537.999999999985</v>
      </c>
      <c r="H106" s="223">
        <f t="shared" ref="H106" si="38">(E106-D106)/D106</f>
        <v>-5.254825549534177E-2</v>
      </c>
      <c r="I106" s="39">
        <v>16.25</v>
      </c>
      <c r="J106" s="39">
        <v>44</v>
      </c>
      <c r="K106" s="39">
        <v>9439</v>
      </c>
      <c r="L106" s="39"/>
    </row>
    <row r="107" spans="1:12" x14ac:dyDescent="0.25">
      <c r="A107">
        <v>4000</v>
      </c>
      <c r="B107" s="150">
        <v>42815</v>
      </c>
      <c r="C107" s="10">
        <v>6400</v>
      </c>
      <c r="D107" s="233">
        <v>16.349399999999999</v>
      </c>
      <c r="E107" s="39">
        <v>15.05</v>
      </c>
      <c r="F107" s="39">
        <f t="shared" ref="F107" si="39">C107*(E107-D107)</f>
        <v>-8316.1599999999908</v>
      </c>
      <c r="G107" s="39">
        <f t="shared" ref="G107" si="40">D107*C107</f>
        <v>104636.15999999999</v>
      </c>
      <c r="H107" s="223">
        <f t="shared" ref="H107" si="41">(E107-D107)/D107</f>
        <v>-7.9476922700527156E-2</v>
      </c>
      <c r="I107" s="39"/>
      <c r="J107" s="39"/>
      <c r="K107" s="39">
        <v>6300</v>
      </c>
      <c r="L107" s="39"/>
    </row>
    <row r="108" spans="1:12" x14ac:dyDescent="0.25">
      <c r="A108">
        <v>4300</v>
      </c>
      <c r="B108" s="150">
        <v>42819</v>
      </c>
      <c r="C108" s="10">
        <v>6400</v>
      </c>
      <c r="D108" s="233">
        <v>16.349399999999999</v>
      </c>
      <c r="E108" s="39">
        <v>14.61</v>
      </c>
      <c r="F108" s="39">
        <f t="shared" ref="F108" si="42">C108*(E108-D108)</f>
        <v>-11132.16</v>
      </c>
      <c r="G108" s="39">
        <f t="shared" ref="G108" si="43">D108*C108</f>
        <v>104636.15999999999</v>
      </c>
      <c r="H108" s="223">
        <f t="shared" ref="H108" si="44">(E108-D108)/D108</f>
        <v>-0.10638922529267128</v>
      </c>
      <c r="I108" s="39"/>
      <c r="J108" s="39"/>
      <c r="K108" s="39">
        <v>3484</v>
      </c>
      <c r="L108" s="39"/>
    </row>
    <row r="109" spans="1:12" x14ac:dyDescent="0.25">
      <c r="A109">
        <v>4300</v>
      </c>
      <c r="B109" s="150">
        <v>42821</v>
      </c>
      <c r="C109" s="10">
        <v>6400</v>
      </c>
      <c r="D109" s="233">
        <v>16.349399999999999</v>
      </c>
      <c r="E109" s="39">
        <v>14.75</v>
      </c>
      <c r="F109" s="39">
        <f t="shared" ref="F109" si="45">C109*(E109-D109)</f>
        <v>-10236.159999999996</v>
      </c>
      <c r="G109" s="39">
        <f t="shared" ref="G109" si="46">D109*C109</f>
        <v>104636.15999999999</v>
      </c>
      <c r="H109" s="223">
        <f t="shared" ref="H109" si="47">(E109-D109)/D109</f>
        <v>-9.78262199224436E-2</v>
      </c>
      <c r="I109" s="39"/>
      <c r="J109" s="39"/>
      <c r="K109" s="39">
        <v>4380</v>
      </c>
      <c r="L109" s="39"/>
    </row>
    <row r="110" spans="1:12" x14ac:dyDescent="0.25">
      <c r="A110">
        <v>4300</v>
      </c>
      <c r="B110" s="150">
        <v>42822</v>
      </c>
      <c r="C110" s="10">
        <v>6400</v>
      </c>
      <c r="D110" s="233">
        <v>16.349399999999999</v>
      </c>
      <c r="E110" s="39">
        <v>15.23</v>
      </c>
      <c r="F110" s="39">
        <f t="shared" ref="F110:F111" si="48">C110*(E110-D110)</f>
        <v>-7164.1599999999926</v>
      </c>
      <c r="G110" s="39">
        <f t="shared" ref="G110:G111" si="49">D110*C110</f>
        <v>104636.15999999999</v>
      </c>
      <c r="H110" s="223">
        <f t="shared" ref="H110:H111" si="50">(E110-D110)/D110</f>
        <v>-6.8467344367377322E-2</v>
      </c>
      <c r="I110" s="39"/>
      <c r="J110" s="39"/>
      <c r="K110" s="39">
        <v>7452</v>
      </c>
      <c r="L110" s="39"/>
    </row>
    <row r="111" spans="1:12" x14ac:dyDescent="0.25">
      <c r="A111">
        <v>3900</v>
      </c>
      <c r="B111" s="150">
        <v>42823</v>
      </c>
      <c r="C111" s="425">
        <v>6000</v>
      </c>
      <c r="D111" s="642">
        <v>16.407399999999999</v>
      </c>
      <c r="E111" s="39">
        <v>15.48</v>
      </c>
      <c r="F111" s="39">
        <f t="shared" si="48"/>
        <v>-5564.3999999999924</v>
      </c>
      <c r="G111" s="39">
        <f t="shared" si="49"/>
        <v>98444.4</v>
      </c>
      <c r="H111" s="223">
        <f t="shared" si="50"/>
        <v>-5.6523276082743074E-2</v>
      </c>
      <c r="I111" s="39">
        <v>16.25</v>
      </c>
      <c r="J111" s="39"/>
      <c r="K111" s="39">
        <v>9051</v>
      </c>
      <c r="L111" s="39"/>
    </row>
    <row r="112" spans="1:12" x14ac:dyDescent="0.25">
      <c r="A112">
        <v>4100</v>
      </c>
      <c r="B112" s="150">
        <v>42830</v>
      </c>
      <c r="C112" s="425">
        <v>6000</v>
      </c>
      <c r="D112" s="642">
        <v>16.388999999999999</v>
      </c>
      <c r="E112" s="39">
        <v>15.98</v>
      </c>
      <c r="F112" s="39">
        <f t="shared" ref="F112:F125" si="51">C112*(E112-D112)</f>
        <v>-2453.9999999999936</v>
      </c>
      <c r="G112" s="39">
        <f t="shared" ref="G112:G125" si="52">D112*C112</f>
        <v>98334</v>
      </c>
      <c r="H112" s="223">
        <f t="shared" ref="H112:H125" si="53">(E112-D112)/D112</f>
        <v>-2.4955763011776128E-2</v>
      </c>
      <c r="I112" s="39">
        <v>16.25</v>
      </c>
      <c r="J112" s="39"/>
      <c r="K112" s="39">
        <v>12159</v>
      </c>
      <c r="L112" s="39"/>
    </row>
    <row r="113" spans="1:12" x14ac:dyDescent="0.25">
      <c r="A113">
        <v>4800</v>
      </c>
      <c r="B113" s="150">
        <v>42838</v>
      </c>
      <c r="C113" s="10">
        <v>6200</v>
      </c>
      <c r="D113" s="233">
        <v>16.375</v>
      </c>
      <c r="E113" s="39">
        <v>15.9</v>
      </c>
      <c r="F113" s="39">
        <f t="shared" si="51"/>
        <v>-2944.9999999999977</v>
      </c>
      <c r="G113" s="39">
        <f t="shared" si="52"/>
        <v>101525</v>
      </c>
      <c r="H113" s="222">
        <f t="shared" si="53"/>
        <v>-2.9007633587786238E-2</v>
      </c>
      <c r="I113" s="39"/>
      <c r="J113" s="39"/>
      <c r="K113" s="39">
        <v>11731</v>
      </c>
      <c r="L113" s="39"/>
    </row>
    <row r="114" spans="1:12" x14ac:dyDescent="0.25">
      <c r="A114">
        <v>5300</v>
      </c>
      <c r="B114" s="150">
        <v>42844</v>
      </c>
      <c r="C114" s="10">
        <v>6400</v>
      </c>
      <c r="D114" s="233">
        <v>16.335000000000001</v>
      </c>
      <c r="E114" s="39">
        <v>15.06</v>
      </c>
      <c r="F114" s="39">
        <f t="shared" si="51"/>
        <v>-8160.0000000000018</v>
      </c>
      <c r="G114" s="39">
        <f t="shared" si="52"/>
        <v>104544</v>
      </c>
      <c r="H114" s="222">
        <f t="shared" si="53"/>
        <v>-7.805325987144171E-2</v>
      </c>
      <c r="I114" s="39"/>
      <c r="J114" s="39"/>
      <c r="K114" s="39">
        <v>6457</v>
      </c>
      <c r="L114" s="39"/>
    </row>
    <row r="115" spans="1:12" x14ac:dyDescent="0.25">
      <c r="A115">
        <v>5700</v>
      </c>
      <c r="B115" s="150">
        <v>42854</v>
      </c>
      <c r="C115" s="10">
        <v>6400</v>
      </c>
      <c r="D115" s="233">
        <v>16.334199999999999</v>
      </c>
      <c r="E115" s="39">
        <v>14.87</v>
      </c>
      <c r="F115" s="39">
        <f t="shared" si="51"/>
        <v>-9370.8799999999992</v>
      </c>
      <c r="G115" s="39">
        <f t="shared" si="52"/>
        <v>104538.87999999999</v>
      </c>
      <c r="H115" s="222">
        <f t="shared" si="53"/>
        <v>-8.9640141543509938E-2</v>
      </c>
      <c r="I115" s="39"/>
      <c r="J115" s="39"/>
      <c r="K115" s="39">
        <v>5245</v>
      </c>
      <c r="L115" s="39"/>
    </row>
    <row r="116" spans="1:12" x14ac:dyDescent="0.25">
      <c r="A116">
        <v>5700</v>
      </c>
      <c r="B116" s="150">
        <v>42860</v>
      </c>
      <c r="C116" s="10">
        <v>6700</v>
      </c>
      <c r="D116" s="233">
        <v>16.225999999999999</v>
      </c>
      <c r="E116" s="39">
        <v>14.29</v>
      </c>
      <c r="F116" s="39">
        <f t="shared" si="51"/>
        <v>-12971.199999999999</v>
      </c>
      <c r="G116" s="39">
        <f t="shared" si="52"/>
        <v>108714.2</v>
      </c>
      <c r="H116" s="222">
        <f t="shared" si="53"/>
        <v>-0.11931468014298041</v>
      </c>
      <c r="I116" s="39"/>
      <c r="J116" s="39"/>
      <c r="K116" s="39">
        <v>1644</v>
      </c>
      <c r="L116" s="39"/>
    </row>
    <row r="117" spans="1:12" x14ac:dyDescent="0.25">
      <c r="A117">
        <v>6000</v>
      </c>
      <c r="B117" s="150">
        <v>42862</v>
      </c>
      <c r="C117" s="10">
        <v>6700</v>
      </c>
      <c r="D117" s="233">
        <v>16.225999999999999</v>
      </c>
      <c r="E117" s="39">
        <v>14.29</v>
      </c>
      <c r="F117" s="39">
        <f t="shared" si="51"/>
        <v>-12971.199999999999</v>
      </c>
      <c r="G117" s="39">
        <f t="shared" si="52"/>
        <v>108714.2</v>
      </c>
      <c r="H117" s="222">
        <f t="shared" si="53"/>
        <v>-0.11931468014298041</v>
      </c>
      <c r="I117" s="39"/>
      <c r="J117" s="39"/>
      <c r="K117" s="39">
        <v>1644</v>
      </c>
      <c r="L117" s="39"/>
    </row>
    <row r="118" spans="1:12" x14ac:dyDescent="0.25">
      <c r="A118">
        <v>5700</v>
      </c>
      <c r="B118" s="150">
        <v>42863</v>
      </c>
      <c r="C118" s="10">
        <v>6400</v>
      </c>
      <c r="D118" s="233">
        <v>16.318000000000001</v>
      </c>
      <c r="E118" s="39">
        <v>14.59</v>
      </c>
      <c r="F118" s="39">
        <f t="shared" si="51"/>
        <v>-11059.20000000001</v>
      </c>
      <c r="G118" s="39">
        <f t="shared" si="52"/>
        <v>104435.20000000001</v>
      </c>
      <c r="H118" s="222">
        <f t="shared" si="53"/>
        <v>-0.1058953303100871</v>
      </c>
      <c r="I118" s="39"/>
      <c r="J118" s="39"/>
      <c r="K118" s="39">
        <v>3559</v>
      </c>
      <c r="L118" s="39"/>
    </row>
    <row r="119" spans="1:12" x14ac:dyDescent="0.25">
      <c r="A119">
        <v>5700</v>
      </c>
      <c r="B119" s="150">
        <v>42866</v>
      </c>
      <c r="C119" s="10">
        <v>6400</v>
      </c>
      <c r="D119" s="233">
        <v>16.318000000000001</v>
      </c>
      <c r="E119" s="39">
        <v>14.48</v>
      </c>
      <c r="F119" s="39">
        <f t="shared" si="51"/>
        <v>-11763.200000000006</v>
      </c>
      <c r="G119" s="39">
        <f t="shared" si="52"/>
        <v>104435.20000000001</v>
      </c>
      <c r="H119" s="222">
        <f t="shared" si="53"/>
        <v>-0.11263635249417826</v>
      </c>
      <c r="I119" s="39"/>
      <c r="J119" s="39"/>
      <c r="K119" s="39">
        <v>2855</v>
      </c>
      <c r="L119" s="39"/>
    </row>
    <row r="120" spans="1:12" x14ac:dyDescent="0.25">
      <c r="A120">
        <v>5900</v>
      </c>
      <c r="B120" s="150">
        <v>42872</v>
      </c>
      <c r="C120" s="10">
        <v>6531</v>
      </c>
      <c r="D120" s="233">
        <v>16.274999999999999</v>
      </c>
      <c r="E120" s="39">
        <v>14.35</v>
      </c>
      <c r="F120" s="39">
        <f t="shared" si="51"/>
        <v>-12572.174999999994</v>
      </c>
      <c r="G120" s="39">
        <f t="shared" si="52"/>
        <v>106292.02499999999</v>
      </c>
      <c r="H120" s="222">
        <f t="shared" si="53"/>
        <v>-0.11827956989247307</v>
      </c>
      <c r="I120" s="39"/>
      <c r="J120" s="39"/>
      <c r="K120" s="39">
        <v>2044</v>
      </c>
      <c r="L120" s="39"/>
    </row>
    <row r="121" spans="1:12" x14ac:dyDescent="0.25">
      <c r="B121" s="150">
        <v>42873</v>
      </c>
      <c r="C121" s="10">
        <v>6400</v>
      </c>
      <c r="D121" s="233">
        <v>16.306000000000001</v>
      </c>
      <c r="E121" s="39">
        <v>14.35</v>
      </c>
      <c r="F121" s="39">
        <f t="shared" si="51"/>
        <v>-12518.400000000009</v>
      </c>
      <c r="G121" s="39">
        <f t="shared" si="52"/>
        <v>104358.40000000001</v>
      </c>
      <c r="H121" s="222">
        <f t="shared" si="53"/>
        <v>-0.11995584447442667</v>
      </c>
      <c r="I121" s="39"/>
      <c r="J121" s="39"/>
      <c r="K121" s="39">
        <v>2098</v>
      </c>
      <c r="L121" s="39"/>
    </row>
    <row r="122" spans="1:12" x14ac:dyDescent="0.25">
      <c r="A122">
        <v>5600</v>
      </c>
      <c r="B122" s="150">
        <v>42873</v>
      </c>
      <c r="C122" s="10">
        <v>6700</v>
      </c>
      <c r="D122" s="233">
        <v>16.21</v>
      </c>
      <c r="E122" s="39">
        <v>14.16</v>
      </c>
      <c r="F122" s="39">
        <f t="shared" si="51"/>
        <v>-13735.000000000005</v>
      </c>
      <c r="G122" s="39">
        <f t="shared" si="52"/>
        <v>108607</v>
      </c>
      <c r="H122" s="222">
        <f t="shared" si="53"/>
        <v>-0.1264651449722394</v>
      </c>
      <c r="I122" s="39"/>
      <c r="J122" s="39"/>
      <c r="K122" s="39">
        <v>1016</v>
      </c>
      <c r="L122" s="39"/>
    </row>
    <row r="123" spans="1:12" x14ac:dyDescent="0.25">
      <c r="A123">
        <v>5300</v>
      </c>
      <c r="B123" s="150">
        <v>42874</v>
      </c>
      <c r="C123" s="10">
        <v>6400</v>
      </c>
      <c r="D123" s="233">
        <v>16.286000000000001</v>
      </c>
      <c r="E123" s="39">
        <v>14.58</v>
      </c>
      <c r="F123" s="39">
        <f t="shared" si="51"/>
        <v>-10918.400000000009</v>
      </c>
      <c r="G123" s="39">
        <f t="shared" si="52"/>
        <v>104230.40000000001</v>
      </c>
      <c r="H123" s="222">
        <f t="shared" si="53"/>
        <v>-0.10475254820090883</v>
      </c>
      <c r="I123" s="39"/>
      <c r="J123" s="39"/>
      <c r="K123" s="39">
        <v>3664</v>
      </c>
      <c r="L123" s="39"/>
    </row>
    <row r="124" spans="1:12" x14ac:dyDescent="0.25">
      <c r="B124" s="150">
        <v>42880</v>
      </c>
      <c r="C124" s="10">
        <v>7000</v>
      </c>
      <c r="D124" s="233">
        <v>16.05</v>
      </c>
      <c r="E124" s="39">
        <v>13.5</v>
      </c>
      <c r="F124" s="39">
        <f t="shared" si="51"/>
        <v>-17850.000000000004</v>
      </c>
      <c r="G124" s="39">
        <f t="shared" si="52"/>
        <v>112350</v>
      </c>
      <c r="H124" s="222">
        <f t="shared" si="53"/>
        <v>-0.15887850467289724</v>
      </c>
      <c r="I124" s="39"/>
      <c r="J124" s="39"/>
      <c r="K124" s="39">
        <v>-3227</v>
      </c>
      <c r="L124" s="39"/>
    </row>
    <row r="125" spans="1:12" x14ac:dyDescent="0.25">
      <c r="A125">
        <v>5800</v>
      </c>
      <c r="B125" s="150">
        <v>42899</v>
      </c>
      <c r="C125" s="10">
        <v>8000</v>
      </c>
      <c r="D125" s="233">
        <v>15.624000000000001</v>
      </c>
      <c r="E125" s="39">
        <v>13.01</v>
      </c>
      <c r="F125" s="39">
        <f t="shared" si="51"/>
        <v>-20912.000000000007</v>
      </c>
      <c r="G125" s="39">
        <f t="shared" si="52"/>
        <v>124992</v>
      </c>
      <c r="H125" s="222">
        <f t="shared" si="53"/>
        <v>-0.16730670762928831</v>
      </c>
      <c r="I125" s="39"/>
      <c r="J125" s="39"/>
      <c r="K125" s="39">
        <v>-6296</v>
      </c>
      <c r="L125" s="39"/>
    </row>
    <row r="126" spans="1:12" x14ac:dyDescent="0.25">
      <c r="A126">
        <v>8000</v>
      </c>
      <c r="B126" s="150">
        <v>42939</v>
      </c>
      <c r="C126" s="10">
        <v>8000</v>
      </c>
      <c r="D126" s="233">
        <v>15.584</v>
      </c>
      <c r="E126" s="39">
        <v>11.85</v>
      </c>
      <c r="F126" s="39">
        <f t="shared" ref="F126:F127" si="54">C126*(E126-D126)</f>
        <v>-29872</v>
      </c>
      <c r="G126" s="39">
        <f t="shared" ref="G126:G127" si="55">D126*C126</f>
        <v>124672</v>
      </c>
      <c r="H126" s="222">
        <f t="shared" ref="H126:H127" si="56">(E126-D126)/D126</f>
        <v>-0.2396047227926078</v>
      </c>
      <c r="I126" s="39"/>
      <c r="J126" s="39"/>
      <c r="K126" s="39">
        <v>-15256</v>
      </c>
      <c r="L126" s="39"/>
    </row>
    <row r="127" spans="1:12" x14ac:dyDescent="0.25">
      <c r="A127">
        <v>8000</v>
      </c>
      <c r="B127" s="150">
        <v>42943</v>
      </c>
      <c r="C127" s="10">
        <v>8200</v>
      </c>
      <c r="D127" s="233">
        <v>15.5</v>
      </c>
      <c r="E127" s="39">
        <v>12.23</v>
      </c>
      <c r="F127" s="39">
        <f t="shared" si="54"/>
        <v>-26813.999999999996</v>
      </c>
      <c r="G127" s="39">
        <f t="shared" si="55"/>
        <v>127100</v>
      </c>
      <c r="H127" s="222">
        <f t="shared" si="56"/>
        <v>-0.21096774193548384</v>
      </c>
      <c r="I127" s="39"/>
      <c r="J127" s="39"/>
      <c r="K127" s="39">
        <v>-12200</v>
      </c>
      <c r="L127" s="39"/>
    </row>
    <row r="128" spans="1:12" x14ac:dyDescent="0.25">
      <c r="B128" s="150">
        <v>42944</v>
      </c>
      <c r="C128" s="10">
        <v>8000</v>
      </c>
      <c r="D128" s="233">
        <v>15.5733</v>
      </c>
      <c r="E128" s="39">
        <v>12.36</v>
      </c>
      <c r="F128" s="39">
        <f t="shared" ref="F128:F129" si="57">C128*(E128-D128)</f>
        <v>-25706.400000000001</v>
      </c>
      <c r="G128" s="39">
        <f t="shared" ref="G128:G129" si="58">D128*C128</f>
        <v>124586.4</v>
      </c>
      <c r="H128" s="222">
        <f t="shared" ref="H128:H129" si="59">(E128-D128)/D128</f>
        <v>-0.20633391766677586</v>
      </c>
      <c r="I128" s="39"/>
      <c r="J128" s="39"/>
      <c r="K128" s="39">
        <v>-11091</v>
      </c>
      <c r="L128" s="39"/>
    </row>
    <row r="129" spans="1:12" x14ac:dyDescent="0.25">
      <c r="A129">
        <v>7400</v>
      </c>
      <c r="B129" s="150">
        <v>42950</v>
      </c>
      <c r="C129" s="10">
        <v>8000</v>
      </c>
      <c r="D129" s="233">
        <v>15.516999999999999</v>
      </c>
      <c r="E129" s="39">
        <v>12.51</v>
      </c>
      <c r="F129" s="39">
        <f t="shared" si="57"/>
        <v>-24055.999999999996</v>
      </c>
      <c r="G129" s="39">
        <f t="shared" si="58"/>
        <v>124136</v>
      </c>
      <c r="H129" s="222">
        <f t="shared" si="59"/>
        <v>-0.19378745891602756</v>
      </c>
      <c r="I129" s="39"/>
      <c r="J129" s="39"/>
      <c r="K129" s="39">
        <v>-9442</v>
      </c>
      <c r="L129" s="39"/>
    </row>
    <row r="130" spans="1:12" x14ac:dyDescent="0.25">
      <c r="A130">
        <v>7200</v>
      </c>
      <c r="B130" s="150">
        <v>42953</v>
      </c>
      <c r="C130" s="10">
        <v>8000</v>
      </c>
      <c r="D130" s="233">
        <v>15.516999999999999</v>
      </c>
      <c r="E130" s="39">
        <v>12.9</v>
      </c>
      <c r="F130" s="39">
        <f t="shared" ref="F130:F134" si="60">C130*(E130-D130)</f>
        <v>-20935.999999999993</v>
      </c>
      <c r="G130" s="39">
        <f t="shared" ref="G130:G134" si="61">D130*C130</f>
        <v>124136</v>
      </c>
      <c r="H130" s="222">
        <f t="shared" ref="H130:H134" si="62">(E130-D130)/D130</f>
        <v>-0.16865373461364949</v>
      </c>
      <c r="I130" s="39"/>
      <c r="J130" s="39"/>
      <c r="K130" s="39">
        <v>-6322</v>
      </c>
      <c r="L130" s="39"/>
    </row>
    <row r="131" spans="1:12" x14ac:dyDescent="0.25">
      <c r="A131">
        <v>7200</v>
      </c>
      <c r="B131" s="150">
        <v>42967</v>
      </c>
      <c r="C131" s="10">
        <v>8900</v>
      </c>
      <c r="D131" s="233">
        <v>15.09</v>
      </c>
      <c r="E131" s="39">
        <v>10.87</v>
      </c>
      <c r="F131" s="39">
        <f t="shared" si="60"/>
        <v>-37558.000000000007</v>
      </c>
      <c r="G131" s="39">
        <f t="shared" si="61"/>
        <v>134301</v>
      </c>
      <c r="H131" s="222">
        <f t="shared" si="62"/>
        <v>-0.27965540092776675</v>
      </c>
      <c r="I131" s="39"/>
      <c r="J131" s="39"/>
      <c r="K131" s="39">
        <v>-22952</v>
      </c>
      <c r="L131" s="39"/>
    </row>
    <row r="132" spans="1:12" x14ac:dyDescent="0.25">
      <c r="A132">
        <v>7100</v>
      </c>
      <c r="B132" s="150">
        <v>42978</v>
      </c>
      <c r="C132" s="10">
        <v>8600</v>
      </c>
      <c r="D132" s="233">
        <v>15.226800000000001</v>
      </c>
      <c r="E132" s="39">
        <v>11.27</v>
      </c>
      <c r="F132" s="39">
        <f t="shared" si="60"/>
        <v>-34028.48000000001</v>
      </c>
      <c r="G132" s="39">
        <f t="shared" si="61"/>
        <v>130950.48000000001</v>
      </c>
      <c r="H132" s="222">
        <f t="shared" si="62"/>
        <v>-0.25985761946042513</v>
      </c>
      <c r="I132" s="39"/>
      <c r="J132" s="39"/>
      <c r="K132" s="39">
        <v>-19413</v>
      </c>
      <c r="L132" s="39"/>
    </row>
    <row r="133" spans="1:12" x14ac:dyDescent="0.25">
      <c r="A133">
        <v>7300</v>
      </c>
      <c r="B133" s="150">
        <v>42984</v>
      </c>
      <c r="C133" s="10">
        <v>8200</v>
      </c>
      <c r="D133" s="233">
        <v>15.403</v>
      </c>
      <c r="E133" s="39">
        <v>11.6</v>
      </c>
      <c r="F133" s="39">
        <f t="shared" si="60"/>
        <v>-31184.600000000006</v>
      </c>
      <c r="G133" s="39">
        <f t="shared" si="61"/>
        <v>126304.6</v>
      </c>
      <c r="H133" s="222">
        <f t="shared" si="62"/>
        <v>-0.24689995455430766</v>
      </c>
      <c r="I133" s="39"/>
      <c r="J133" s="39"/>
      <c r="K133" s="39">
        <v>-17305</v>
      </c>
      <c r="L133" s="39"/>
    </row>
    <row r="134" spans="1:12" x14ac:dyDescent="0.25">
      <c r="A134">
        <v>7300</v>
      </c>
      <c r="B134" s="150">
        <v>42986</v>
      </c>
      <c r="C134" s="10">
        <v>8600</v>
      </c>
      <c r="D134" s="233">
        <v>15.202999999999999</v>
      </c>
      <c r="E134" s="39">
        <v>11.11</v>
      </c>
      <c r="F134" s="39">
        <f t="shared" si="60"/>
        <v>-35199.800000000003</v>
      </c>
      <c r="G134" s="39">
        <f t="shared" si="61"/>
        <v>130745.79999999999</v>
      </c>
      <c r="H134" s="222">
        <f t="shared" si="62"/>
        <v>-0.26922317963559822</v>
      </c>
      <c r="I134" s="39"/>
      <c r="J134" s="39"/>
      <c r="K134" s="39">
        <v>-20585</v>
      </c>
      <c r="L134" s="39"/>
    </row>
    <row r="135" spans="1:12" x14ac:dyDescent="0.25">
      <c r="A135">
        <v>6900</v>
      </c>
      <c r="B135" s="150">
        <v>42987</v>
      </c>
      <c r="C135" s="10">
        <v>8200</v>
      </c>
      <c r="D135" s="233">
        <v>15.3935</v>
      </c>
      <c r="E135" s="39">
        <v>11.3</v>
      </c>
      <c r="F135" s="39">
        <f t="shared" ref="F135:F136" si="63">C135*(E135-D135)</f>
        <v>-33566.69999999999</v>
      </c>
      <c r="G135" s="39">
        <f t="shared" ref="G135:G136" si="64">D135*C135</f>
        <v>126226.7</v>
      </c>
      <c r="H135" s="222">
        <f t="shared" ref="H135:H136" si="65">(E135-D135)/D135</f>
        <v>-0.26592392893104227</v>
      </c>
      <c r="I135" s="39"/>
      <c r="J135" s="39"/>
      <c r="K135" s="39">
        <v>-18951</v>
      </c>
      <c r="L135" s="39"/>
    </row>
    <row r="136" spans="1:12" x14ac:dyDescent="0.25">
      <c r="A136">
        <v>7500</v>
      </c>
      <c r="B136" s="150">
        <v>42996</v>
      </c>
      <c r="C136" s="10">
        <v>8000</v>
      </c>
      <c r="D136" s="233">
        <v>15.43</v>
      </c>
      <c r="E136" s="39">
        <v>12.02</v>
      </c>
      <c r="F136" s="39">
        <f t="shared" si="63"/>
        <v>-27280</v>
      </c>
      <c r="G136" s="39">
        <f t="shared" si="64"/>
        <v>123440</v>
      </c>
      <c r="H136" s="222">
        <f t="shared" si="65"/>
        <v>-0.22099805573558004</v>
      </c>
      <c r="I136" s="39">
        <v>15</v>
      </c>
      <c r="J136" s="39"/>
      <c r="K136" s="39">
        <v>-12635</v>
      </c>
      <c r="L136" s="39"/>
    </row>
    <row r="137" spans="1:12" x14ac:dyDescent="0.25">
      <c r="A137">
        <v>7600</v>
      </c>
      <c r="B137" s="150">
        <v>42999</v>
      </c>
      <c r="C137" s="421">
        <v>8000</v>
      </c>
      <c r="D137" s="781">
        <v>15.43</v>
      </c>
      <c r="E137" s="39">
        <v>12.73</v>
      </c>
      <c r="F137" s="39">
        <f t="shared" ref="F137:F143" si="66">C137*(E137-D137)</f>
        <v>-21599.999999999993</v>
      </c>
      <c r="G137" s="39">
        <f t="shared" ref="G137:G143" si="67">D137*C137</f>
        <v>123440</v>
      </c>
      <c r="H137" s="222">
        <f t="shared" ref="H137:H143" si="68">(E137-D137)/D137</f>
        <v>-0.17498379779650028</v>
      </c>
      <c r="I137" s="39">
        <v>15</v>
      </c>
      <c r="J137" s="39"/>
      <c r="K137" s="39">
        <v>-6955</v>
      </c>
      <c r="L137" s="39"/>
    </row>
    <row r="138" spans="1:12" x14ac:dyDescent="0.25">
      <c r="A138">
        <v>7100</v>
      </c>
      <c r="B138" s="150">
        <v>43000</v>
      </c>
      <c r="C138" s="10">
        <v>7500</v>
      </c>
      <c r="D138" s="233">
        <v>15.6</v>
      </c>
      <c r="E138" s="39">
        <v>12.83</v>
      </c>
      <c r="F138" s="39">
        <f t="shared" si="66"/>
        <v>-20774.999999999996</v>
      </c>
      <c r="G138" s="39">
        <f t="shared" si="67"/>
        <v>117000</v>
      </c>
      <c r="H138" s="222">
        <f t="shared" si="68"/>
        <v>-0.17756410256410254</v>
      </c>
      <c r="I138" s="39"/>
      <c r="J138" s="39"/>
      <c r="K138" s="39"/>
      <c r="L138" s="39"/>
    </row>
    <row r="139" spans="1:12" x14ac:dyDescent="0.25">
      <c r="A139">
        <v>6600</v>
      </c>
      <c r="B139" s="150">
        <v>43000</v>
      </c>
      <c r="C139" s="10">
        <v>7000</v>
      </c>
      <c r="D139" s="233">
        <v>15.788</v>
      </c>
      <c r="E139" s="39">
        <v>12.79</v>
      </c>
      <c r="F139" s="39">
        <f t="shared" si="66"/>
        <v>-20986.000000000007</v>
      </c>
      <c r="G139" s="39">
        <f t="shared" si="67"/>
        <v>110516</v>
      </c>
      <c r="H139" s="222">
        <f t="shared" si="68"/>
        <v>-0.1898910564986066</v>
      </c>
      <c r="I139" s="39">
        <v>15.5</v>
      </c>
      <c r="J139" s="39"/>
      <c r="K139" s="39">
        <v>-6370</v>
      </c>
      <c r="L139" s="39"/>
    </row>
    <row r="140" spans="1:12" ht="15" customHeight="1" x14ac:dyDescent="0.25">
      <c r="A140">
        <v>6300</v>
      </c>
      <c r="B140" s="150">
        <v>43004</v>
      </c>
      <c r="C140" s="10">
        <v>6700</v>
      </c>
      <c r="D140" s="233">
        <v>15.903</v>
      </c>
      <c r="E140" s="39">
        <v>13.4</v>
      </c>
      <c r="F140" s="39">
        <f t="shared" si="66"/>
        <v>-16770.100000000002</v>
      </c>
      <c r="G140" s="39">
        <f t="shared" si="67"/>
        <v>106550.1</v>
      </c>
      <c r="H140" s="222">
        <f t="shared" si="68"/>
        <v>-0.15739168710306231</v>
      </c>
      <c r="I140" s="39">
        <v>15.5</v>
      </c>
      <c r="J140" s="39"/>
      <c r="K140" s="39">
        <v>-2155</v>
      </c>
      <c r="L140" s="39"/>
    </row>
    <row r="141" spans="1:12" x14ac:dyDescent="0.25">
      <c r="A141">
        <v>6000</v>
      </c>
      <c r="B141" s="150">
        <v>43005</v>
      </c>
      <c r="C141" s="10">
        <v>6400</v>
      </c>
      <c r="D141" s="233">
        <v>16.003</v>
      </c>
      <c r="E141" s="39">
        <v>13.73</v>
      </c>
      <c r="F141" s="39">
        <f t="shared" si="66"/>
        <v>-14547.199999999997</v>
      </c>
      <c r="G141" s="39">
        <f t="shared" si="67"/>
        <v>102419.2</v>
      </c>
      <c r="H141" s="222">
        <f t="shared" si="68"/>
        <v>-0.14203586827469847</v>
      </c>
      <c r="I141" s="39"/>
      <c r="J141" s="39"/>
      <c r="K141" s="39">
        <v>71</v>
      </c>
      <c r="L141" s="39"/>
    </row>
    <row r="142" spans="1:12" x14ac:dyDescent="0.25">
      <c r="A142">
        <v>6000</v>
      </c>
      <c r="B142" s="150">
        <v>43006</v>
      </c>
      <c r="C142" s="10">
        <v>6700</v>
      </c>
      <c r="D142" s="233">
        <v>15.8888</v>
      </c>
      <c r="E142" s="39">
        <v>13.53</v>
      </c>
      <c r="F142" s="39">
        <f t="shared" si="66"/>
        <v>-15803.960000000003</v>
      </c>
      <c r="G142" s="39">
        <f t="shared" si="67"/>
        <v>106454.95999999999</v>
      </c>
      <c r="H142" s="222">
        <f t="shared" si="68"/>
        <v>-0.14845677458335435</v>
      </c>
      <c r="I142" s="39">
        <v>15.5</v>
      </c>
      <c r="J142" s="39"/>
      <c r="K142" s="39">
        <v>-1188</v>
      </c>
      <c r="L142" s="39"/>
    </row>
    <row r="143" spans="1:12" x14ac:dyDescent="0.25">
      <c r="A143">
        <v>5700</v>
      </c>
      <c r="B143" s="150">
        <v>43011</v>
      </c>
      <c r="C143" s="10">
        <v>6400</v>
      </c>
      <c r="D143" s="233">
        <v>15.99</v>
      </c>
      <c r="E143" s="39">
        <v>13.76</v>
      </c>
      <c r="F143" s="39">
        <f t="shared" si="66"/>
        <v>-14272.000000000004</v>
      </c>
      <c r="G143" s="39">
        <f t="shared" si="67"/>
        <v>102336</v>
      </c>
      <c r="H143" s="222">
        <f t="shared" si="68"/>
        <v>-0.13946216385240778</v>
      </c>
      <c r="I143" s="39"/>
      <c r="J143" s="39"/>
      <c r="K143" s="39">
        <v>341</v>
      </c>
      <c r="L143" s="39"/>
    </row>
    <row r="144" spans="1:12" x14ac:dyDescent="0.25">
      <c r="A144">
        <v>6100</v>
      </c>
      <c r="B144" s="150">
        <v>43023</v>
      </c>
      <c r="C144" s="10">
        <v>6400</v>
      </c>
      <c r="D144" s="233">
        <v>15.99</v>
      </c>
      <c r="E144" s="39">
        <v>13.75</v>
      </c>
      <c r="F144" s="39">
        <f t="shared" ref="F144" si="69">C144*(E144-D144)</f>
        <v>-14336.000000000002</v>
      </c>
      <c r="G144" s="39">
        <f t="shared" ref="G144" si="70">D144*C144</f>
        <v>102336</v>
      </c>
      <c r="H144" s="222">
        <f t="shared" ref="H144" si="71">(E144-D144)/D144</f>
        <v>-0.14008755472170106</v>
      </c>
      <c r="I144" s="39">
        <v>15.5</v>
      </c>
      <c r="J144" s="39">
        <v>69.28</v>
      </c>
      <c r="K144" s="39">
        <v>277</v>
      </c>
      <c r="L144" s="39"/>
    </row>
    <row r="145" spans="1:12" x14ac:dyDescent="0.25">
      <c r="B145" s="150">
        <v>43028</v>
      </c>
      <c r="C145" s="10">
        <v>6400</v>
      </c>
      <c r="D145" s="233">
        <v>15.99</v>
      </c>
      <c r="E145" s="39">
        <v>13.93</v>
      </c>
      <c r="F145" s="39">
        <f t="shared" ref="F145" si="72">C145*(E145-D145)</f>
        <v>-13184.000000000004</v>
      </c>
      <c r="G145" s="39">
        <f t="shared" ref="G145" si="73">D145*C145</f>
        <v>102336</v>
      </c>
      <c r="H145" s="222">
        <f t="shared" ref="H145" si="74">(E145-D145)/D145</f>
        <v>-0.12883051907442156</v>
      </c>
      <c r="I145" s="39"/>
      <c r="J145" s="39"/>
      <c r="K145" s="39">
        <v>1429</v>
      </c>
      <c r="L145" s="39"/>
    </row>
    <row r="146" spans="1:12" x14ac:dyDescent="0.25">
      <c r="A146">
        <v>6100</v>
      </c>
      <c r="B146" s="150">
        <v>43031</v>
      </c>
      <c r="C146" s="10">
        <v>6400</v>
      </c>
      <c r="D146" s="233">
        <v>15.99</v>
      </c>
      <c r="E146" s="39">
        <v>13.63</v>
      </c>
      <c r="F146" s="39">
        <f t="shared" ref="F146:F158" si="75">C146*(E146-D146)</f>
        <v>-15103.999999999996</v>
      </c>
      <c r="G146" s="39">
        <f t="shared" ref="G146:G158" si="76">D146*C146</f>
        <v>102336</v>
      </c>
      <c r="H146" s="222">
        <f t="shared" ref="H146:H158" si="77">(E146-D146)/D146</f>
        <v>-0.14759224515322072</v>
      </c>
      <c r="I146" s="39"/>
      <c r="J146" s="39"/>
      <c r="K146" s="39">
        <v>-491</v>
      </c>
      <c r="L146" s="39"/>
    </row>
    <row r="147" spans="1:12" x14ac:dyDescent="0.25">
      <c r="A147">
        <v>6000</v>
      </c>
      <c r="B147" s="150">
        <v>43040</v>
      </c>
      <c r="C147" s="425">
        <v>6000</v>
      </c>
      <c r="D147" s="642">
        <v>16.091100000000001</v>
      </c>
      <c r="E147" s="39">
        <v>14.87</v>
      </c>
      <c r="F147" s="39">
        <f t="shared" si="75"/>
        <v>-7326.6000000000095</v>
      </c>
      <c r="G147" s="39">
        <f t="shared" si="76"/>
        <v>96546.6</v>
      </c>
      <c r="H147" s="222">
        <f t="shared" si="77"/>
        <v>-7.5886670271143777E-2</v>
      </c>
      <c r="I147" s="193" t="s">
        <v>765</v>
      </c>
      <c r="J147" s="39"/>
      <c r="K147" s="39">
        <v>7289</v>
      </c>
      <c r="L147" s="39"/>
    </row>
    <row r="148" spans="1:12" x14ac:dyDescent="0.25">
      <c r="A148">
        <v>5700</v>
      </c>
      <c r="B148" s="150">
        <v>43042</v>
      </c>
      <c r="C148" s="10">
        <v>5700</v>
      </c>
      <c r="D148" s="233">
        <v>16.117999999999999</v>
      </c>
      <c r="E148" s="39">
        <v>15.58</v>
      </c>
      <c r="F148" s="39">
        <f t="shared" si="75"/>
        <v>-3066.5999999999913</v>
      </c>
      <c r="G148" s="39">
        <f t="shared" si="76"/>
        <v>91872.599999999991</v>
      </c>
      <c r="H148" s="222">
        <f t="shared" si="77"/>
        <v>-3.337883112048632E-2</v>
      </c>
      <c r="I148" s="39"/>
      <c r="J148" s="39"/>
      <c r="K148" s="39">
        <v>11549</v>
      </c>
      <c r="L148" s="39"/>
    </row>
    <row r="149" spans="1:12" x14ac:dyDescent="0.25">
      <c r="A149">
        <v>5600</v>
      </c>
      <c r="B149" s="150">
        <v>43045</v>
      </c>
      <c r="C149" s="10">
        <v>5600</v>
      </c>
      <c r="D149" s="233">
        <v>16.114000000000001</v>
      </c>
      <c r="E149" s="39">
        <v>16.329999999999998</v>
      </c>
      <c r="F149" s="39">
        <f t="shared" si="75"/>
        <v>1209.5999999999863</v>
      </c>
      <c r="G149" s="39">
        <f t="shared" si="76"/>
        <v>90238.400000000009</v>
      </c>
      <c r="H149" s="222">
        <f t="shared" si="77"/>
        <v>1.3404492987464163E-2</v>
      </c>
      <c r="I149" s="39"/>
      <c r="J149" s="39"/>
      <c r="K149" s="39">
        <v>15824</v>
      </c>
      <c r="L149" s="39"/>
    </row>
    <row r="150" spans="1:12" x14ac:dyDescent="0.25">
      <c r="A150">
        <v>5600</v>
      </c>
      <c r="B150" s="150">
        <v>43047</v>
      </c>
      <c r="C150" s="10">
        <v>5700</v>
      </c>
      <c r="D150" s="233">
        <v>16.1084</v>
      </c>
      <c r="E150" s="39">
        <v>15.8</v>
      </c>
      <c r="F150" s="39">
        <f t="shared" si="75"/>
        <v>-1757.8799999999937</v>
      </c>
      <c r="G150" s="39">
        <f t="shared" si="76"/>
        <v>91817.88</v>
      </c>
      <c r="H150" s="222">
        <f t="shared" si="77"/>
        <v>-1.9145290655806842E-2</v>
      </c>
      <c r="I150" s="39"/>
      <c r="J150" s="39"/>
      <c r="K150" s="39">
        <v>12858</v>
      </c>
      <c r="L150" s="39"/>
    </row>
    <row r="151" spans="1:12" x14ac:dyDescent="0.25">
      <c r="A151">
        <v>5600</v>
      </c>
      <c r="B151" s="150">
        <v>43053</v>
      </c>
      <c r="C151" s="425">
        <v>6000</v>
      </c>
      <c r="D151" s="642">
        <v>16.059999999999999</v>
      </c>
      <c r="E151" s="39">
        <v>14.84</v>
      </c>
      <c r="F151" s="39">
        <f t="shared" si="75"/>
        <v>-7319.9999999999927</v>
      </c>
      <c r="G151" s="39">
        <f t="shared" si="76"/>
        <v>96359.999999999985</v>
      </c>
      <c r="H151" s="222">
        <f t="shared" si="77"/>
        <v>-7.5965130759651237E-2</v>
      </c>
      <c r="I151" s="39">
        <v>15.75</v>
      </c>
      <c r="J151" s="39">
        <v>52.87</v>
      </c>
      <c r="K151" s="39">
        <v>7308</v>
      </c>
      <c r="L151" s="39"/>
    </row>
    <row r="152" spans="1:12" x14ac:dyDescent="0.25">
      <c r="A152">
        <v>5600</v>
      </c>
      <c r="B152" s="150">
        <v>43060</v>
      </c>
      <c r="C152" s="10">
        <v>6400</v>
      </c>
      <c r="D152" s="233">
        <v>15.96</v>
      </c>
      <c r="E152" s="39">
        <v>14.52</v>
      </c>
      <c r="F152" s="39">
        <f t="shared" si="75"/>
        <v>-9216.0000000000073</v>
      </c>
      <c r="G152" s="39">
        <f t="shared" si="76"/>
        <v>102144</v>
      </c>
      <c r="H152" s="222">
        <f t="shared" si="77"/>
        <v>-9.0225563909774514E-2</v>
      </c>
      <c r="I152" s="39"/>
      <c r="J152" s="39"/>
      <c r="K152" s="39">
        <v>5398</v>
      </c>
      <c r="L152" s="39"/>
    </row>
    <row r="153" spans="1:12" x14ac:dyDescent="0.25">
      <c r="B153" s="150">
        <v>43068</v>
      </c>
      <c r="C153" s="10">
        <v>6000</v>
      </c>
      <c r="D153" s="233">
        <v>16.010999999999999</v>
      </c>
      <c r="E153" s="39">
        <v>14.78</v>
      </c>
      <c r="F153" s="39">
        <f t="shared" si="75"/>
        <v>-7385.9999999999991</v>
      </c>
      <c r="G153" s="39">
        <f t="shared" si="76"/>
        <v>96066</v>
      </c>
      <c r="H153" s="222">
        <f t="shared" si="77"/>
        <v>-7.6884641808756482E-2</v>
      </c>
      <c r="I153" s="39"/>
      <c r="J153" s="39"/>
      <c r="K153" s="39"/>
      <c r="L153" s="39"/>
    </row>
    <row r="154" spans="1:12" ht="15" customHeight="1" x14ac:dyDescent="0.25">
      <c r="B154" s="150">
        <v>43069</v>
      </c>
      <c r="C154" s="10">
        <v>6100</v>
      </c>
      <c r="D154" s="233">
        <v>15.989000000000001</v>
      </c>
      <c r="E154" s="39">
        <v>14.69</v>
      </c>
      <c r="F154" s="39">
        <f t="shared" si="75"/>
        <v>-7923.9000000000078</v>
      </c>
      <c r="G154" s="39">
        <f t="shared" si="76"/>
        <v>97532.900000000009</v>
      </c>
      <c r="H154" s="222">
        <f t="shared" si="77"/>
        <v>-8.1243354806429496E-2</v>
      </c>
      <c r="I154" s="39"/>
      <c r="J154" s="39"/>
      <c r="K154" s="39"/>
      <c r="L154" s="39"/>
    </row>
    <row r="155" spans="1:12" x14ac:dyDescent="0.25">
      <c r="A155">
        <v>5100</v>
      </c>
      <c r="B155" s="150">
        <v>43070</v>
      </c>
      <c r="C155" s="425">
        <v>6000</v>
      </c>
      <c r="D155" s="642">
        <v>16.002800000000001</v>
      </c>
      <c r="E155" s="39">
        <v>15.08</v>
      </c>
      <c r="F155" s="39">
        <f t="shared" si="75"/>
        <v>-5536.8000000000029</v>
      </c>
      <c r="G155" s="39">
        <f t="shared" si="76"/>
        <v>96016.8</v>
      </c>
      <c r="H155" s="222">
        <f t="shared" si="77"/>
        <v>-5.7664908640987854E-2</v>
      </c>
      <c r="I155" s="39"/>
      <c r="J155" s="39"/>
      <c r="K155" s="39">
        <v>9079</v>
      </c>
      <c r="L155" s="39"/>
    </row>
    <row r="156" spans="1:12" x14ac:dyDescent="0.25">
      <c r="A156">
        <v>5200</v>
      </c>
      <c r="B156" s="150">
        <v>43081</v>
      </c>
      <c r="C156" s="425">
        <v>6000</v>
      </c>
      <c r="D156" s="642">
        <v>15.955</v>
      </c>
      <c r="E156" s="39">
        <v>15.18</v>
      </c>
      <c r="F156" s="39">
        <f t="shared" si="75"/>
        <v>-4650.0000000000018</v>
      </c>
      <c r="G156" s="39">
        <f t="shared" si="76"/>
        <v>95730</v>
      </c>
      <c r="H156" s="222">
        <f t="shared" si="77"/>
        <v>-4.8574114697586983E-2</v>
      </c>
      <c r="I156" s="193" t="s">
        <v>772</v>
      </c>
      <c r="J156" s="39">
        <v>56.3</v>
      </c>
      <c r="K156" s="39">
        <v>9964</v>
      </c>
      <c r="L156" s="39"/>
    </row>
    <row r="157" spans="1:12" x14ac:dyDescent="0.25">
      <c r="B157" s="150">
        <v>43087</v>
      </c>
      <c r="C157" s="10">
        <v>5800</v>
      </c>
      <c r="D157" s="233">
        <v>15.977</v>
      </c>
      <c r="E157" s="39">
        <v>15.33</v>
      </c>
      <c r="F157" s="39">
        <f t="shared" si="75"/>
        <v>-3752.6000000000013</v>
      </c>
      <c r="G157" s="39">
        <f t="shared" si="76"/>
        <v>92666.6</v>
      </c>
      <c r="H157" s="222">
        <f t="shared" si="77"/>
        <v>-4.0495712586843605E-2</v>
      </c>
      <c r="I157" s="39"/>
      <c r="J157" s="39"/>
      <c r="K157" s="39">
        <v>10864</v>
      </c>
      <c r="L157" s="39"/>
    </row>
    <row r="158" spans="1:12" x14ac:dyDescent="0.25">
      <c r="A158">
        <v>5200</v>
      </c>
      <c r="B158" s="150">
        <v>43087</v>
      </c>
      <c r="C158" s="10">
        <v>5700</v>
      </c>
      <c r="D158" s="233">
        <v>15.986000000000001</v>
      </c>
      <c r="E158" s="39">
        <v>15.44</v>
      </c>
      <c r="F158" s="39">
        <f t="shared" si="75"/>
        <v>-3112.2000000000066</v>
      </c>
      <c r="G158" s="39">
        <f t="shared" si="76"/>
        <v>91120.2</v>
      </c>
      <c r="H158" s="222">
        <f t="shared" si="77"/>
        <v>-3.4154885524834304E-2</v>
      </c>
      <c r="I158" s="39"/>
      <c r="J158" s="39"/>
      <c r="K158" s="39">
        <v>11502</v>
      </c>
      <c r="L158" s="39"/>
    </row>
    <row r="159" spans="1:12" x14ac:dyDescent="0.25">
      <c r="A159">
        <v>5100</v>
      </c>
      <c r="B159" s="150">
        <v>43088</v>
      </c>
      <c r="C159" s="10">
        <v>5600</v>
      </c>
      <c r="D159" s="233">
        <v>15.986000000000001</v>
      </c>
      <c r="E159" s="39">
        <v>16.02</v>
      </c>
      <c r="F159" s="39">
        <f t="shared" ref="F159:F162" si="78">C159*(E159-D159)</f>
        <v>190.39999999999395</v>
      </c>
      <c r="G159" s="39">
        <f t="shared" ref="G159:G162" si="79">D159*C159</f>
        <v>89521.600000000006</v>
      </c>
      <c r="H159" s="222">
        <f t="shared" ref="H159:H162" si="80">(E159-D159)/D159</f>
        <v>2.1268610033778881E-3</v>
      </c>
      <c r="I159" s="39"/>
      <c r="J159" s="39">
        <v>66</v>
      </c>
      <c r="K159" s="39">
        <v>14803</v>
      </c>
      <c r="L159" s="39"/>
    </row>
    <row r="160" spans="1:12" x14ac:dyDescent="0.25">
      <c r="B160" s="150">
        <v>43089</v>
      </c>
      <c r="C160" s="10">
        <v>5500</v>
      </c>
      <c r="D160" s="233">
        <v>15.981</v>
      </c>
      <c r="E160" s="39">
        <v>16.32</v>
      </c>
      <c r="F160" s="39">
        <f t="shared" si="78"/>
        <v>1864.5000000000023</v>
      </c>
      <c r="G160" s="39">
        <f t="shared" si="79"/>
        <v>87895.5</v>
      </c>
      <c r="H160" s="222">
        <f t="shared" si="80"/>
        <v>2.1212690069457505E-2</v>
      </c>
      <c r="I160" s="39"/>
      <c r="J160" s="39"/>
      <c r="K160" s="39">
        <v>16478</v>
      </c>
      <c r="L160" s="39"/>
    </row>
    <row r="161" spans="1:22" x14ac:dyDescent="0.25">
      <c r="B161" s="150">
        <v>43090</v>
      </c>
      <c r="C161" s="10">
        <v>5000</v>
      </c>
      <c r="D161" s="233">
        <v>15.917999999999999</v>
      </c>
      <c r="E161" s="39">
        <v>16.8</v>
      </c>
      <c r="F161" s="39">
        <f t="shared" si="78"/>
        <v>4410.0000000000073</v>
      </c>
      <c r="G161" s="39">
        <f t="shared" si="79"/>
        <v>79590</v>
      </c>
      <c r="H161" s="222">
        <f t="shared" si="80"/>
        <v>5.5408970976253392E-2</v>
      </c>
      <c r="I161" s="39"/>
      <c r="J161" s="39"/>
      <c r="K161" s="39">
        <v>18624</v>
      </c>
      <c r="L161" s="39"/>
    </row>
    <row r="162" spans="1:22" x14ac:dyDescent="0.25">
      <c r="A162">
        <v>4500</v>
      </c>
      <c r="B162" s="150">
        <v>43090</v>
      </c>
      <c r="C162" s="10">
        <v>4800</v>
      </c>
      <c r="D162" s="233">
        <v>15.877000000000001</v>
      </c>
      <c r="E162" s="39">
        <v>17.05</v>
      </c>
      <c r="F162" s="39">
        <f t="shared" si="78"/>
        <v>5630.4000000000005</v>
      </c>
      <c r="G162" s="39">
        <f t="shared" si="79"/>
        <v>76209.600000000006</v>
      </c>
      <c r="H162" s="222">
        <f t="shared" si="80"/>
        <v>7.3880456005542605E-2</v>
      </c>
      <c r="I162" s="39"/>
      <c r="J162" s="39"/>
      <c r="K162" s="39">
        <v>20244</v>
      </c>
      <c r="L162" s="39"/>
    </row>
    <row r="163" spans="1:22" x14ac:dyDescent="0.25">
      <c r="A163">
        <v>4700</v>
      </c>
      <c r="B163" s="150">
        <v>43096</v>
      </c>
      <c r="C163" s="10">
        <v>4800</v>
      </c>
      <c r="D163" s="233">
        <v>15.877000000000001</v>
      </c>
      <c r="E163" s="39">
        <v>17.010000000000002</v>
      </c>
      <c r="F163" s="39">
        <f t="shared" ref="F163:F164" si="81">C163*(E163-D163)</f>
        <v>5438.4000000000042</v>
      </c>
      <c r="G163" s="39">
        <f t="shared" ref="G163:G164" si="82">D163*C163</f>
        <v>76209.600000000006</v>
      </c>
      <c r="H163" s="222">
        <f t="shared" ref="H163:H164" si="83">(E163-D163)/D163</f>
        <v>7.136108836681998E-2</v>
      </c>
      <c r="I163" s="39"/>
      <c r="J163" s="39">
        <v>69.88</v>
      </c>
      <c r="K163" s="39">
        <v>20245</v>
      </c>
      <c r="L163" s="39"/>
    </row>
    <row r="164" spans="1:22" x14ac:dyDescent="0.25">
      <c r="A164">
        <v>4700</v>
      </c>
      <c r="B164" s="150">
        <v>43102</v>
      </c>
      <c r="C164" s="10">
        <v>4700</v>
      </c>
      <c r="D164" s="233">
        <v>15.84563</v>
      </c>
      <c r="E164" s="39">
        <v>17.38</v>
      </c>
      <c r="F164" s="39">
        <f t="shared" si="81"/>
        <v>7211.5389999999961</v>
      </c>
      <c r="G164" s="39">
        <f t="shared" si="82"/>
        <v>74474.460999999996</v>
      </c>
      <c r="H164" s="222">
        <f t="shared" si="83"/>
        <v>9.6832375866406015E-2</v>
      </c>
      <c r="I164" s="39"/>
      <c r="J164" s="39"/>
      <c r="K164" s="39">
        <v>21827</v>
      </c>
      <c r="L164" s="39"/>
    </row>
    <row r="165" spans="1:22" x14ac:dyDescent="0.25">
      <c r="A165">
        <v>4700</v>
      </c>
      <c r="B165" s="150">
        <v>43103</v>
      </c>
      <c r="C165" s="10">
        <v>4700</v>
      </c>
      <c r="D165" s="233">
        <v>15.84563</v>
      </c>
      <c r="E165" s="39">
        <v>17.670000000000002</v>
      </c>
      <c r="F165" s="39">
        <f t="shared" ref="F165:F166" si="84">C165*(E165-D165)</f>
        <v>8574.5390000000079</v>
      </c>
      <c r="G165" s="39">
        <f t="shared" ref="G165:G166" si="85">D165*C165</f>
        <v>74474.460999999996</v>
      </c>
      <c r="H165" s="222">
        <f t="shared" ref="H165:H166" si="86">(E165-D165)/D165</f>
        <v>0.11513395175830825</v>
      </c>
      <c r="I165" s="39"/>
      <c r="J165" s="39">
        <v>73</v>
      </c>
      <c r="K165" s="39">
        <v>23190</v>
      </c>
      <c r="L165" s="39"/>
    </row>
    <row r="166" spans="1:22" x14ac:dyDescent="0.25">
      <c r="A166">
        <v>4600</v>
      </c>
      <c r="B166" s="150">
        <v>43104</v>
      </c>
      <c r="C166" s="10">
        <v>4600</v>
      </c>
      <c r="D166" s="233">
        <v>15.8</v>
      </c>
      <c r="E166" s="39">
        <v>18.12</v>
      </c>
      <c r="F166" s="39">
        <f t="shared" si="84"/>
        <v>10672.000000000002</v>
      </c>
      <c r="G166" s="39">
        <f t="shared" si="85"/>
        <v>72680</v>
      </c>
      <c r="H166" s="222">
        <f t="shared" si="86"/>
        <v>0.14683544303797469</v>
      </c>
      <c r="I166" s="39"/>
      <c r="J166" s="39"/>
      <c r="K166" s="39">
        <v>25283</v>
      </c>
      <c r="L166" s="39"/>
    </row>
    <row r="167" spans="1:22" x14ac:dyDescent="0.25">
      <c r="A167">
        <v>4600</v>
      </c>
      <c r="B167" s="150">
        <v>43105</v>
      </c>
      <c r="C167" s="10">
        <v>4600</v>
      </c>
      <c r="D167" s="233">
        <v>15.8</v>
      </c>
      <c r="E167" s="39">
        <v>17.89</v>
      </c>
      <c r="F167" s="39">
        <f t="shared" ref="F167" si="87">C167*(E167-D167)</f>
        <v>9614</v>
      </c>
      <c r="G167" s="39">
        <f t="shared" ref="G167" si="88">D167*C167</f>
        <v>72680</v>
      </c>
      <c r="H167" s="222">
        <f t="shared" ref="H167" si="89">(E167-D167)/D167</f>
        <v>0.13227848101265821</v>
      </c>
      <c r="I167" s="39"/>
      <c r="J167" s="39">
        <v>59.81</v>
      </c>
      <c r="K167" s="39">
        <v>24225</v>
      </c>
      <c r="L167" s="39"/>
    </row>
    <row r="168" spans="1:22" x14ac:dyDescent="0.25">
      <c r="A168">
        <v>4600</v>
      </c>
      <c r="B168" s="150">
        <v>43109</v>
      </c>
      <c r="C168" s="10">
        <v>4600</v>
      </c>
      <c r="D168" s="233">
        <v>15.8</v>
      </c>
      <c r="E168" s="39">
        <v>18.05</v>
      </c>
      <c r="F168" s="39">
        <f t="shared" ref="F168:F175" si="90">C168*(E168-D168)</f>
        <v>10350</v>
      </c>
      <c r="G168" s="39">
        <f t="shared" ref="G168:G175" si="91">D168*C168</f>
        <v>72680</v>
      </c>
      <c r="H168" s="222">
        <f t="shared" ref="H168:H175" si="92">(E168-D168)/D168</f>
        <v>0.14240506329113922</v>
      </c>
      <c r="I168" s="39"/>
      <c r="J168" s="39">
        <v>73.349999999999994</v>
      </c>
      <c r="K168" s="39">
        <v>24961</v>
      </c>
      <c r="L168" s="39"/>
    </row>
    <row r="169" spans="1:22" x14ac:dyDescent="0.25">
      <c r="A169">
        <v>4233</v>
      </c>
      <c r="B169" s="150">
        <v>43111</v>
      </c>
      <c r="C169" s="10">
        <v>4233</v>
      </c>
      <c r="D169" s="233">
        <v>15.564</v>
      </c>
      <c r="E169" s="39">
        <v>18.600000000000001</v>
      </c>
      <c r="F169" s="39">
        <f t="shared" si="90"/>
        <v>12851.388000000006</v>
      </c>
      <c r="G169" s="39">
        <f t="shared" si="91"/>
        <v>65882.411999999997</v>
      </c>
      <c r="H169" s="222">
        <f t="shared" si="92"/>
        <v>0.19506553585196615</v>
      </c>
      <c r="I169" s="39"/>
      <c r="J169" s="39"/>
      <c r="K169" s="39">
        <v>27465</v>
      </c>
      <c r="L169" s="39"/>
      <c r="V169" s="785"/>
    </row>
    <row r="170" spans="1:22" x14ac:dyDescent="0.25">
      <c r="A170">
        <v>4100</v>
      </c>
      <c r="B170" s="150">
        <v>43112</v>
      </c>
      <c r="C170" s="10">
        <v>4100</v>
      </c>
      <c r="D170" s="233">
        <v>15.455299999999999</v>
      </c>
      <c r="E170" s="39">
        <v>18.82</v>
      </c>
      <c r="F170" s="39">
        <f t="shared" si="90"/>
        <v>13795.270000000004</v>
      </c>
      <c r="G170" s="39">
        <f t="shared" si="91"/>
        <v>63366.729999999996</v>
      </c>
      <c r="H170" s="222">
        <f t="shared" si="92"/>
        <v>0.21770525321410786</v>
      </c>
      <c r="I170" s="39"/>
      <c r="J170" s="39">
        <v>76.94</v>
      </c>
      <c r="K170" s="39">
        <v>28411</v>
      </c>
      <c r="L170" s="39"/>
      <c r="V170" s="785"/>
    </row>
    <row r="171" spans="1:22" x14ac:dyDescent="0.25">
      <c r="A171">
        <v>4100</v>
      </c>
      <c r="B171" s="150">
        <v>43116</v>
      </c>
      <c r="C171" s="10">
        <v>4300</v>
      </c>
      <c r="D171" s="233">
        <v>15.59</v>
      </c>
      <c r="E171" s="39">
        <v>18.239999999999998</v>
      </c>
      <c r="F171" s="39">
        <f t="shared" si="90"/>
        <v>11394.999999999995</v>
      </c>
      <c r="G171" s="39">
        <f t="shared" si="91"/>
        <v>67037</v>
      </c>
      <c r="H171" s="222">
        <f t="shared" si="92"/>
        <v>0.1699807568954457</v>
      </c>
      <c r="I171" s="39"/>
      <c r="J171" s="39"/>
      <c r="K171" s="39">
        <v>26011</v>
      </c>
      <c r="L171" s="39"/>
      <c r="V171" s="785"/>
    </row>
    <row r="172" spans="1:22" x14ac:dyDescent="0.25">
      <c r="A172">
        <v>4100</v>
      </c>
      <c r="B172" s="150">
        <v>43116</v>
      </c>
      <c r="C172" s="10">
        <v>4500</v>
      </c>
      <c r="D172" s="233">
        <v>15.708</v>
      </c>
      <c r="E172" s="39">
        <v>18.239999999999998</v>
      </c>
      <c r="F172" s="39">
        <f t="shared" si="90"/>
        <v>11393.999999999993</v>
      </c>
      <c r="G172" s="39">
        <f t="shared" si="91"/>
        <v>70686</v>
      </c>
      <c r="H172" s="222">
        <f t="shared" si="92"/>
        <v>0.16119174942704342</v>
      </c>
      <c r="I172" s="39"/>
      <c r="J172" s="39"/>
      <c r="K172" s="39">
        <v>26011</v>
      </c>
      <c r="L172" s="39"/>
      <c r="V172" s="786"/>
    </row>
    <row r="173" spans="1:22" x14ac:dyDescent="0.25">
      <c r="B173" s="150">
        <v>43117</v>
      </c>
      <c r="C173" s="10">
        <v>4100</v>
      </c>
      <c r="D173" s="233">
        <v>15.41</v>
      </c>
      <c r="E173" s="39">
        <v>18.600000000000001</v>
      </c>
      <c r="F173" s="39">
        <f t="shared" si="90"/>
        <v>13079.000000000005</v>
      </c>
      <c r="G173" s="39">
        <f t="shared" si="91"/>
        <v>63181</v>
      </c>
      <c r="H173" s="222">
        <f t="shared" si="92"/>
        <v>0.20700843608046732</v>
      </c>
      <c r="I173" s="39"/>
      <c r="J173" s="39"/>
      <c r="K173" s="39">
        <v>27692</v>
      </c>
      <c r="L173" s="39"/>
      <c r="V173" s="786"/>
    </row>
    <row r="174" spans="1:22" x14ac:dyDescent="0.25">
      <c r="A174">
        <v>3500</v>
      </c>
      <c r="B174" s="150">
        <v>43117</v>
      </c>
      <c r="C174" s="10">
        <v>4000</v>
      </c>
      <c r="D174" s="233">
        <v>15.321</v>
      </c>
      <c r="E174" s="39">
        <v>18.989999999999998</v>
      </c>
      <c r="F174" s="39">
        <f t="shared" si="90"/>
        <v>14675.999999999995</v>
      </c>
      <c r="G174" s="39">
        <f t="shared" si="91"/>
        <v>61284</v>
      </c>
      <c r="H174" s="222">
        <f t="shared" si="92"/>
        <v>0.2394752300763657</v>
      </c>
      <c r="I174" s="39"/>
      <c r="J174" s="39">
        <v>66.36</v>
      </c>
      <c r="K174" s="39">
        <v>29291</v>
      </c>
      <c r="L174" s="39"/>
      <c r="V174" s="786"/>
    </row>
    <row r="175" spans="1:22" x14ac:dyDescent="0.25">
      <c r="A175">
        <v>3300</v>
      </c>
      <c r="B175" s="150">
        <v>43123</v>
      </c>
      <c r="C175" s="7">
        <v>4000</v>
      </c>
      <c r="D175" s="422">
        <v>15.303000000000001</v>
      </c>
      <c r="E175" s="39">
        <v>19.22</v>
      </c>
      <c r="F175" s="39">
        <f t="shared" si="90"/>
        <v>15667.999999999993</v>
      </c>
      <c r="G175" s="39">
        <f t="shared" si="91"/>
        <v>61212</v>
      </c>
      <c r="H175" s="222">
        <f t="shared" si="92"/>
        <v>0.25596288309481785</v>
      </c>
      <c r="I175" s="39"/>
      <c r="J175" s="39">
        <v>70.61</v>
      </c>
      <c r="K175" s="39">
        <v>30285</v>
      </c>
      <c r="L175" s="39"/>
    </row>
    <row r="176" spans="1:22" x14ac:dyDescent="0.25">
      <c r="A176">
        <v>3300</v>
      </c>
      <c r="B176" s="150">
        <v>43125</v>
      </c>
      <c r="C176" s="10">
        <v>4100</v>
      </c>
      <c r="D176" s="233">
        <v>15.39</v>
      </c>
      <c r="E176" s="39">
        <v>18.68</v>
      </c>
      <c r="F176" s="39">
        <f t="shared" ref="F176" si="93">C176*(E176-D176)</f>
        <v>13488.999999999996</v>
      </c>
      <c r="G176" s="39">
        <f t="shared" ref="G176" si="94">D176*C176</f>
        <v>63099</v>
      </c>
      <c r="H176" s="222">
        <f t="shared" ref="H176" si="95">(E176-D176)/D176</f>
        <v>0.21377517868745932</v>
      </c>
      <c r="I176" s="39"/>
      <c r="J176" s="39"/>
      <c r="K176" s="39">
        <v>28105</v>
      </c>
      <c r="L176" s="39"/>
    </row>
    <row r="177" spans="1:22" x14ac:dyDescent="0.25">
      <c r="A177">
        <v>3300</v>
      </c>
      <c r="B177" s="150">
        <v>43126</v>
      </c>
      <c r="C177" s="10">
        <v>4100</v>
      </c>
      <c r="D177" s="233">
        <v>15.39</v>
      </c>
      <c r="E177" s="39">
        <v>18.84</v>
      </c>
      <c r="F177" s="39">
        <f t="shared" ref="F177:F190" si="96">C177*(E177-D177)</f>
        <v>14144.999999999996</v>
      </c>
      <c r="G177" s="39">
        <f t="shared" ref="G177:G190" si="97">D177*C177</f>
        <v>63099</v>
      </c>
      <c r="H177" s="222">
        <f t="shared" ref="H177:H190" si="98">(E177-D177)/D177</f>
        <v>0.22417153996101358</v>
      </c>
      <c r="I177" s="39"/>
      <c r="J177" s="39">
        <v>62.61</v>
      </c>
      <c r="K177" s="39">
        <v>28106</v>
      </c>
      <c r="L177" s="39"/>
      <c r="V177" s="789"/>
    </row>
    <row r="178" spans="1:22" x14ac:dyDescent="0.25">
      <c r="A178">
        <v>3300</v>
      </c>
      <c r="B178" s="150">
        <v>43130</v>
      </c>
      <c r="C178" s="10">
        <v>4800</v>
      </c>
      <c r="D178" s="233">
        <v>15.803000000000001</v>
      </c>
      <c r="E178" s="39">
        <v>18.059999999999999</v>
      </c>
      <c r="F178" s="39">
        <f t="shared" si="96"/>
        <v>10833.599999999989</v>
      </c>
      <c r="G178" s="39">
        <f t="shared" si="97"/>
        <v>75854.400000000009</v>
      </c>
      <c r="H178" s="222">
        <f t="shared" si="98"/>
        <v>0.14282098335759019</v>
      </c>
      <c r="I178" s="39"/>
      <c r="J178" s="39"/>
      <c r="K178" s="39">
        <v>25451</v>
      </c>
      <c r="L178" s="39"/>
      <c r="V178" s="789"/>
    </row>
    <row r="179" spans="1:22" x14ac:dyDescent="0.25">
      <c r="A179">
        <v>3300</v>
      </c>
      <c r="B179" s="150">
        <v>43133</v>
      </c>
      <c r="C179" s="10">
        <v>5000</v>
      </c>
      <c r="D179" s="233">
        <v>15.874000000000001</v>
      </c>
      <c r="E179" s="39">
        <v>17.52</v>
      </c>
      <c r="F179" s="39">
        <f t="shared" si="96"/>
        <v>8229.9999999999945</v>
      </c>
      <c r="G179" s="39">
        <f t="shared" si="97"/>
        <v>79370</v>
      </c>
      <c r="H179" s="222">
        <f t="shared" si="98"/>
        <v>0.10369157112259034</v>
      </c>
      <c r="I179" s="39"/>
      <c r="J179" s="39"/>
      <c r="K179" s="39">
        <v>22847</v>
      </c>
      <c r="L179" s="39"/>
      <c r="V179" s="798"/>
    </row>
    <row r="180" spans="1:22" x14ac:dyDescent="0.25">
      <c r="A180">
        <v>3300</v>
      </c>
      <c r="B180" s="150">
        <v>43139</v>
      </c>
      <c r="C180" s="10">
        <v>5500</v>
      </c>
      <c r="D180" s="233">
        <v>15.87</v>
      </c>
      <c r="E180" s="39">
        <v>15.68</v>
      </c>
      <c r="F180" s="39">
        <f t="shared" si="96"/>
        <v>-1044.9999999999973</v>
      </c>
      <c r="G180" s="39">
        <f t="shared" si="97"/>
        <v>87285</v>
      </c>
      <c r="H180" s="222">
        <f t="shared" si="98"/>
        <v>-1.1972274732199088E-2</v>
      </c>
      <c r="I180" s="39"/>
      <c r="J180" s="39">
        <v>32.950000000000003</v>
      </c>
      <c r="K180" s="39">
        <v>13547</v>
      </c>
      <c r="L180" s="39">
        <v>60.44</v>
      </c>
      <c r="V180" s="798"/>
    </row>
    <row r="181" spans="1:22" x14ac:dyDescent="0.25">
      <c r="B181" s="150">
        <v>43140</v>
      </c>
      <c r="C181" s="10">
        <v>6000</v>
      </c>
      <c r="D181" s="233">
        <v>15.8246</v>
      </c>
      <c r="E181" s="39">
        <v>15.51</v>
      </c>
      <c r="F181" s="39">
        <f t="shared" si="96"/>
        <v>-1887.6000000000026</v>
      </c>
      <c r="G181" s="39">
        <f t="shared" si="97"/>
        <v>94947.6</v>
      </c>
      <c r="H181" s="222">
        <f t="shared" si="98"/>
        <v>-1.9880439316001697E-2</v>
      </c>
      <c r="I181" s="39"/>
      <c r="J181" s="39"/>
      <c r="K181" s="39"/>
      <c r="L181" s="39"/>
      <c r="V181" s="800"/>
    </row>
    <row r="182" spans="1:22" x14ac:dyDescent="0.25">
      <c r="B182" s="150">
        <v>43140</v>
      </c>
      <c r="C182" s="10">
        <v>5500</v>
      </c>
      <c r="D182" s="233">
        <v>15.85</v>
      </c>
      <c r="E182" s="39">
        <v>15.51</v>
      </c>
      <c r="F182" s="39">
        <f t="shared" si="96"/>
        <v>-1869.9999999999993</v>
      </c>
      <c r="G182" s="39">
        <f t="shared" si="97"/>
        <v>87175</v>
      </c>
      <c r="H182" s="222">
        <f t="shared" si="98"/>
        <v>-2.1451104100946364E-2</v>
      </c>
      <c r="I182" s="39"/>
      <c r="J182" s="39"/>
      <c r="K182" s="39"/>
      <c r="L182" s="39"/>
      <c r="V182" s="800"/>
    </row>
    <row r="183" spans="1:22" x14ac:dyDescent="0.25">
      <c r="B183" s="150">
        <v>43140</v>
      </c>
      <c r="C183" s="425">
        <v>6000</v>
      </c>
      <c r="D183" s="642">
        <v>15.795999999999999</v>
      </c>
      <c r="E183" s="39">
        <v>15.51</v>
      </c>
      <c r="F183" s="39">
        <f t="shared" si="96"/>
        <v>-1715.9999999999975</v>
      </c>
      <c r="G183" s="39">
        <f t="shared" si="97"/>
        <v>94776</v>
      </c>
      <c r="H183" s="222">
        <f t="shared" si="98"/>
        <v>-1.8105849582172675E-2</v>
      </c>
      <c r="I183" s="39">
        <v>15.75</v>
      </c>
      <c r="J183" s="39"/>
      <c r="K183" s="39"/>
      <c r="L183" s="39"/>
      <c r="O183" s="2"/>
      <c r="V183" s="800"/>
    </row>
    <row r="184" spans="1:22" x14ac:dyDescent="0.25">
      <c r="A184">
        <v>2300</v>
      </c>
      <c r="B184" s="150">
        <v>43140</v>
      </c>
      <c r="C184" s="10">
        <v>5500</v>
      </c>
      <c r="D184" s="233">
        <v>15.824999999999999</v>
      </c>
      <c r="E184" s="39">
        <v>15.51</v>
      </c>
      <c r="F184" s="39">
        <f t="shared" si="96"/>
        <v>-1732.4999999999973</v>
      </c>
      <c r="G184" s="39">
        <f t="shared" si="97"/>
        <v>87037.5</v>
      </c>
      <c r="H184" s="222">
        <f t="shared" si="98"/>
        <v>-1.990521327014215E-2</v>
      </c>
      <c r="I184" s="39"/>
      <c r="J184" s="39"/>
      <c r="K184" s="39">
        <v>12882</v>
      </c>
      <c r="L184" s="39">
        <v>59.18</v>
      </c>
      <c r="V184" s="789"/>
    </row>
    <row r="185" spans="1:22" x14ac:dyDescent="0.25">
      <c r="A185">
        <v>1800</v>
      </c>
      <c r="B185" s="150">
        <v>43143</v>
      </c>
      <c r="C185" s="10">
        <v>5000</v>
      </c>
      <c r="D185" s="233">
        <v>15.77</v>
      </c>
      <c r="E185" s="39">
        <v>16.27</v>
      </c>
      <c r="F185" s="39">
        <f t="shared" si="96"/>
        <v>2500</v>
      </c>
      <c r="G185" s="39">
        <f t="shared" si="97"/>
        <v>78850</v>
      </c>
      <c r="H185" s="222">
        <f t="shared" si="98"/>
        <v>3.1705770450221944E-2</v>
      </c>
      <c r="I185" s="39"/>
      <c r="J185" s="39"/>
      <c r="K185" s="39">
        <v>17117</v>
      </c>
      <c r="L185" s="39"/>
    </row>
    <row r="186" spans="1:22" x14ac:dyDescent="0.25">
      <c r="A186">
        <v>800</v>
      </c>
      <c r="B186" s="150">
        <v>43146</v>
      </c>
      <c r="C186" s="10">
        <v>5000</v>
      </c>
      <c r="D186" s="233">
        <v>15.682</v>
      </c>
      <c r="E186" s="39">
        <v>16.32</v>
      </c>
      <c r="F186" s="39">
        <f t="shared" si="96"/>
        <v>3189.9999999999995</v>
      </c>
      <c r="G186" s="39">
        <f t="shared" si="97"/>
        <v>78410</v>
      </c>
      <c r="H186" s="222">
        <f t="shared" si="98"/>
        <v>4.0683586277260549E-2</v>
      </c>
      <c r="I186" s="39"/>
      <c r="J186" s="39"/>
      <c r="K186" s="39">
        <v>17807</v>
      </c>
      <c r="L186" s="39"/>
    </row>
    <row r="187" spans="1:22" x14ac:dyDescent="0.25">
      <c r="A187">
        <v>1200</v>
      </c>
      <c r="B187" s="150">
        <v>43147</v>
      </c>
      <c r="C187" s="10">
        <v>5500</v>
      </c>
      <c r="D187" s="233">
        <v>15.688000000000001</v>
      </c>
      <c r="E187" s="39">
        <v>15.69</v>
      </c>
      <c r="F187" s="39">
        <f t="shared" si="96"/>
        <v>10.999999999993904</v>
      </c>
      <c r="G187" s="39">
        <f t="shared" si="97"/>
        <v>86284</v>
      </c>
      <c r="H187" s="222">
        <f t="shared" si="98"/>
        <v>1.2748597654250966E-4</v>
      </c>
      <c r="I187" s="39"/>
      <c r="J187" s="39"/>
      <c r="K187" s="39">
        <v>14407</v>
      </c>
      <c r="L187" s="39"/>
    </row>
    <row r="188" spans="1:22" x14ac:dyDescent="0.25">
      <c r="A188">
        <v>800</v>
      </c>
      <c r="B188" s="150">
        <v>43151</v>
      </c>
      <c r="C188" s="10">
        <v>5000</v>
      </c>
      <c r="D188" s="233">
        <v>15.6388</v>
      </c>
      <c r="E188" s="39">
        <v>16.18</v>
      </c>
      <c r="F188" s="39">
        <f t="shared" si="96"/>
        <v>2705.9999999999995</v>
      </c>
      <c r="G188" s="39">
        <f t="shared" si="97"/>
        <v>78194</v>
      </c>
      <c r="H188" s="222">
        <f t="shared" si="98"/>
        <v>3.4606235772565663E-2</v>
      </c>
      <c r="I188" s="39"/>
      <c r="J188" s="39"/>
      <c r="K188" s="39">
        <v>17321</v>
      </c>
      <c r="L188" s="39"/>
    </row>
    <row r="189" spans="1:22" x14ac:dyDescent="0.25">
      <c r="A189">
        <v>800</v>
      </c>
      <c r="B189" s="150">
        <v>43151</v>
      </c>
      <c r="C189" s="10">
        <v>5500</v>
      </c>
      <c r="D189" s="233">
        <v>15.654999999999999</v>
      </c>
      <c r="E189" s="39">
        <v>15.8</v>
      </c>
      <c r="F189" s="39">
        <f t="shared" si="96"/>
        <v>797.50000000000739</v>
      </c>
      <c r="G189" s="39">
        <f t="shared" si="97"/>
        <v>86102.5</v>
      </c>
      <c r="H189" s="222">
        <f t="shared" si="98"/>
        <v>9.2622165442351554E-3</v>
      </c>
      <c r="I189" s="39"/>
      <c r="J189" s="39"/>
      <c r="K189" s="39">
        <v>15521</v>
      </c>
      <c r="L189" s="39"/>
    </row>
    <row r="190" spans="1:22" x14ac:dyDescent="0.25">
      <c r="A190">
        <v>800</v>
      </c>
      <c r="B190" s="150">
        <v>43152</v>
      </c>
      <c r="C190" s="425">
        <v>6000</v>
      </c>
      <c r="D190" s="642">
        <v>15.637</v>
      </c>
      <c r="E190" s="39">
        <v>15.3</v>
      </c>
      <c r="F190" s="39">
        <f t="shared" si="96"/>
        <v>-2021.9999999999984</v>
      </c>
      <c r="G190" s="39">
        <f t="shared" si="97"/>
        <v>93822</v>
      </c>
      <c r="H190" s="222">
        <f t="shared" si="98"/>
        <v>-2.1551448487561537E-2</v>
      </c>
      <c r="I190" s="193" t="s">
        <v>942</v>
      </c>
      <c r="J190" s="39"/>
      <c r="K190" s="39">
        <v>12591</v>
      </c>
      <c r="L190" s="39"/>
    </row>
    <row r="191" spans="1:22" x14ac:dyDescent="0.25">
      <c r="A191">
        <v>1100</v>
      </c>
      <c r="B191" s="150">
        <v>43156</v>
      </c>
      <c r="C191" s="10">
        <v>6000</v>
      </c>
      <c r="D191" s="233">
        <v>15.637</v>
      </c>
      <c r="E191" s="39">
        <v>15.54</v>
      </c>
      <c r="F191" s="39">
        <f t="shared" ref="F191:F193" si="99">C191*(E191-D191)</f>
        <v>-582.00000000000784</v>
      </c>
      <c r="G191" s="39">
        <f t="shared" ref="G191:G193" si="100">D191*C191</f>
        <v>93822</v>
      </c>
      <c r="H191" s="222">
        <f t="shared" ref="H191:H193" si="101">(E191-D191)/D191</f>
        <v>-6.2032359148175035E-3</v>
      </c>
      <c r="I191" s="193"/>
      <c r="J191" s="39"/>
      <c r="K191" s="39">
        <v>14031</v>
      </c>
      <c r="L191" s="39">
        <v>63.55</v>
      </c>
    </row>
    <row r="192" spans="1:22" x14ac:dyDescent="0.25">
      <c r="A192">
        <v>1100</v>
      </c>
      <c r="B192" s="150">
        <v>43159</v>
      </c>
      <c r="C192" s="10">
        <v>6400</v>
      </c>
      <c r="D192" s="233">
        <v>15.582000000000001</v>
      </c>
      <c r="E192" s="39">
        <v>14.52</v>
      </c>
      <c r="F192" s="39">
        <f t="shared" si="99"/>
        <v>-6796.8000000000075</v>
      </c>
      <c r="G192" s="39">
        <f t="shared" si="100"/>
        <v>99724.800000000003</v>
      </c>
      <c r="H192" s="222">
        <f t="shared" si="101"/>
        <v>-6.8155564112437506E-2</v>
      </c>
      <c r="I192" s="39">
        <v>15.5</v>
      </c>
      <c r="J192" s="39"/>
      <c r="K192" s="39">
        <v>7819</v>
      </c>
      <c r="L192" s="39"/>
    </row>
    <row r="193" spans="1:14" x14ac:dyDescent="0.25">
      <c r="A193">
        <v>2000</v>
      </c>
      <c r="B193" s="150">
        <v>43165</v>
      </c>
      <c r="C193" s="10">
        <v>6400</v>
      </c>
      <c r="D193" s="233">
        <v>15.582000000000001</v>
      </c>
      <c r="E193" s="39">
        <v>15.03</v>
      </c>
      <c r="F193" s="39">
        <f t="shared" si="99"/>
        <v>-3532.8000000000088</v>
      </c>
      <c r="G193" s="39">
        <f t="shared" si="100"/>
        <v>99724.800000000003</v>
      </c>
      <c r="H193" s="222">
        <f t="shared" si="101"/>
        <v>-3.542549095109751E-2</v>
      </c>
      <c r="I193" s="39"/>
      <c r="J193" s="39"/>
      <c r="K193" s="39">
        <v>11083</v>
      </c>
      <c r="L193" s="39"/>
    </row>
    <row r="194" spans="1:14" x14ac:dyDescent="0.25">
      <c r="A194">
        <v>2000</v>
      </c>
      <c r="B194" s="150">
        <v>43168</v>
      </c>
      <c r="C194" s="10">
        <v>6400</v>
      </c>
      <c r="D194" s="233">
        <v>15.582000000000001</v>
      </c>
      <c r="E194" s="39">
        <v>15.22</v>
      </c>
      <c r="F194" s="39">
        <f t="shared" ref="F194:F200" si="102">C194*(E194-D194)</f>
        <v>-2316.8000000000006</v>
      </c>
      <c r="G194" s="39">
        <f t="shared" ref="G194:G200" si="103">D194*C194</f>
        <v>99724.800000000003</v>
      </c>
      <c r="H194" s="222">
        <f t="shared" ref="H194:H200" si="104">(E194-D194)/D194</f>
        <v>-2.3231934283147227E-2</v>
      </c>
      <c r="I194" s="39"/>
      <c r="J194" s="39"/>
      <c r="K194" s="39">
        <v>12299</v>
      </c>
      <c r="L194" s="39"/>
    </row>
    <row r="195" spans="1:14" x14ac:dyDescent="0.25">
      <c r="A195">
        <v>3500</v>
      </c>
      <c r="B195" s="150">
        <v>43172</v>
      </c>
      <c r="C195" s="10">
        <v>6400</v>
      </c>
      <c r="D195" s="233">
        <v>15.54</v>
      </c>
      <c r="E195" s="39">
        <v>14.82</v>
      </c>
      <c r="F195" s="39">
        <f t="shared" si="102"/>
        <v>-4607.9999999999927</v>
      </c>
      <c r="G195" s="39">
        <f t="shared" si="103"/>
        <v>99456</v>
      </c>
      <c r="H195" s="222">
        <f t="shared" si="104"/>
        <v>-4.633204633204626E-2</v>
      </c>
      <c r="I195" s="39"/>
      <c r="J195" s="39"/>
      <c r="K195" s="39">
        <v>10013</v>
      </c>
      <c r="L195" s="39" t="s">
        <v>185</v>
      </c>
    </row>
    <row r="196" spans="1:14" x14ac:dyDescent="0.25">
      <c r="A196">
        <v>3600</v>
      </c>
      <c r="B196" s="150">
        <v>43180</v>
      </c>
      <c r="C196" s="810">
        <v>5000</v>
      </c>
      <c r="D196" s="811">
        <v>15.416</v>
      </c>
      <c r="E196" s="39">
        <v>15.98</v>
      </c>
      <c r="F196" s="39">
        <f t="shared" si="102"/>
        <v>2820.0000000000005</v>
      </c>
      <c r="G196" s="39">
        <f t="shared" si="103"/>
        <v>77080</v>
      </c>
      <c r="H196" s="222">
        <f t="shared" si="104"/>
        <v>3.6585365853658541E-2</v>
      </c>
      <c r="I196" s="39"/>
      <c r="J196" s="39"/>
      <c r="K196" s="39">
        <v>17438</v>
      </c>
      <c r="L196" s="39"/>
    </row>
    <row r="197" spans="1:14" ht="15" customHeight="1" x14ac:dyDescent="0.25">
      <c r="A197">
        <v>3400</v>
      </c>
      <c r="B197" s="150">
        <v>43180</v>
      </c>
      <c r="C197" s="10">
        <v>4800</v>
      </c>
      <c r="D197" s="233">
        <v>15.375</v>
      </c>
      <c r="E197" s="39">
        <v>16.38</v>
      </c>
      <c r="F197" s="39">
        <f t="shared" si="102"/>
        <v>4823.9999999999955</v>
      </c>
      <c r="G197" s="39">
        <f t="shared" si="103"/>
        <v>73800</v>
      </c>
      <c r="H197" s="222">
        <f t="shared" si="104"/>
        <v>6.5365853658536519E-2</v>
      </c>
      <c r="I197" s="39"/>
      <c r="J197" s="39"/>
      <c r="K197" s="39">
        <v>19438</v>
      </c>
      <c r="L197" s="39"/>
    </row>
    <row r="198" spans="1:14" x14ac:dyDescent="0.25">
      <c r="B198" s="150">
        <v>43181</v>
      </c>
      <c r="C198" s="10">
        <v>5200</v>
      </c>
      <c r="D198" s="233">
        <v>15.416</v>
      </c>
      <c r="E198" s="39">
        <v>15.9</v>
      </c>
      <c r="F198" s="39">
        <f t="shared" si="102"/>
        <v>2516.7999999999997</v>
      </c>
      <c r="G198" s="39">
        <f t="shared" si="103"/>
        <v>80163.199999999997</v>
      </c>
      <c r="H198" s="222">
        <f t="shared" si="104"/>
        <v>3.1395952257394916E-2</v>
      </c>
      <c r="I198" s="39"/>
      <c r="J198" s="39"/>
      <c r="K198" s="39"/>
      <c r="L198" s="39"/>
    </row>
    <row r="199" spans="1:14" x14ac:dyDescent="0.25">
      <c r="A199">
        <v>3000</v>
      </c>
      <c r="B199" s="150">
        <v>43181</v>
      </c>
      <c r="C199" s="10">
        <v>4800</v>
      </c>
      <c r="D199" s="233">
        <v>15.3645</v>
      </c>
      <c r="E199" s="39">
        <v>16.02</v>
      </c>
      <c r="F199" s="39">
        <f t="shared" si="102"/>
        <v>3146.3999999999996</v>
      </c>
      <c r="G199" s="39">
        <f t="shared" si="103"/>
        <v>73749.599999999991</v>
      </c>
      <c r="H199" s="222">
        <f t="shared" si="104"/>
        <v>4.2663282241530799E-2</v>
      </c>
      <c r="I199" s="39"/>
      <c r="J199" s="39"/>
      <c r="K199" s="39"/>
      <c r="L199" s="39"/>
    </row>
    <row r="200" spans="1:14" x14ac:dyDescent="0.25">
      <c r="A200">
        <v>3500</v>
      </c>
      <c r="B200" s="150">
        <v>43182</v>
      </c>
      <c r="C200" s="10">
        <v>5000</v>
      </c>
      <c r="D200" s="233">
        <v>15.378</v>
      </c>
      <c r="E200" s="39">
        <v>15.76</v>
      </c>
      <c r="F200" s="39">
        <f t="shared" si="102"/>
        <v>1909.9999999999984</v>
      </c>
      <c r="G200" s="39">
        <f t="shared" si="103"/>
        <v>76890</v>
      </c>
      <c r="H200" s="222">
        <f t="shared" si="104"/>
        <v>2.4840681493041986E-2</v>
      </c>
      <c r="I200" s="39"/>
      <c r="J200" s="39"/>
      <c r="K200" s="39">
        <v>16525</v>
      </c>
      <c r="L200" s="39"/>
    </row>
    <row r="201" spans="1:14" x14ac:dyDescent="0.25">
      <c r="A201">
        <v>4000</v>
      </c>
      <c r="B201" s="150">
        <v>43185</v>
      </c>
      <c r="C201" s="10">
        <v>5000</v>
      </c>
      <c r="D201" s="233">
        <v>15.378</v>
      </c>
      <c r="E201" s="39">
        <v>16.27</v>
      </c>
      <c r="F201" s="39">
        <f t="shared" ref="F201" si="105">C201*(E201-D201)</f>
        <v>4459.9999999999973</v>
      </c>
      <c r="G201" s="39">
        <f t="shared" ref="G201" si="106">D201*C201</f>
        <v>76890</v>
      </c>
      <c r="H201" s="222">
        <f t="shared" ref="H201" si="107">(E201-D201)/D201</f>
        <v>5.8004942125113763E-2</v>
      </c>
      <c r="I201" s="39"/>
      <c r="J201" s="39"/>
      <c r="K201" s="39">
        <v>19075</v>
      </c>
      <c r="L201" s="39"/>
    </row>
    <row r="202" spans="1:14" x14ac:dyDescent="0.25">
      <c r="A202">
        <v>4000</v>
      </c>
      <c r="B202" s="150">
        <v>43186</v>
      </c>
      <c r="C202" s="810">
        <v>5000</v>
      </c>
      <c r="D202" s="811">
        <v>15.378</v>
      </c>
      <c r="E202" s="39">
        <v>15.82</v>
      </c>
      <c r="F202" s="39">
        <f t="shared" ref="F202:F203" si="108">C202*(E202-D202)</f>
        <v>2210.0000000000009</v>
      </c>
      <c r="G202" s="39">
        <f t="shared" ref="G202:G203" si="109">D202*C202</f>
        <v>76890</v>
      </c>
      <c r="H202" s="222">
        <f t="shared" ref="H202:H203" si="110">(E202-D202)/D202</f>
        <v>2.8742359214462231E-2</v>
      </c>
      <c r="I202" s="39"/>
      <c r="J202" s="39"/>
      <c r="K202" s="39">
        <v>16825</v>
      </c>
      <c r="L202" s="39"/>
    </row>
    <row r="203" spans="1:14" x14ac:dyDescent="0.25">
      <c r="A203">
        <v>4000</v>
      </c>
      <c r="B203" s="150">
        <v>43187</v>
      </c>
      <c r="C203" s="10">
        <v>5200</v>
      </c>
      <c r="D203" s="233">
        <v>15.38</v>
      </c>
      <c r="E203" s="39">
        <v>15.32</v>
      </c>
      <c r="F203" s="39">
        <f t="shared" si="108"/>
        <v>-312.00000000000261</v>
      </c>
      <c r="G203" s="39">
        <f t="shared" si="109"/>
        <v>79976</v>
      </c>
      <c r="H203" s="222">
        <f t="shared" si="110"/>
        <v>-3.9011703511053638E-3</v>
      </c>
      <c r="I203" s="39"/>
      <c r="J203" s="39"/>
      <c r="K203" s="39">
        <v>14299</v>
      </c>
      <c r="L203" s="39"/>
    </row>
    <row r="204" spans="1:14" x14ac:dyDescent="0.25">
      <c r="A204">
        <v>3800</v>
      </c>
      <c r="B204" s="150">
        <v>43188</v>
      </c>
      <c r="C204" s="10">
        <v>5000</v>
      </c>
      <c r="D204" s="233">
        <v>15.358000000000001</v>
      </c>
      <c r="E204" s="39">
        <v>16.13</v>
      </c>
      <c r="F204" s="39">
        <f t="shared" ref="F204:F209" si="111">C204*(E204-D204)</f>
        <v>3859.9999999999923</v>
      </c>
      <c r="G204" s="39">
        <f t="shared" ref="G204:G209" si="112">D204*C204</f>
        <v>76790</v>
      </c>
      <c r="H204" s="222">
        <f t="shared" ref="H204:H209" si="113">(E204-D204)/D204</f>
        <v>5.0266961843990002E-2</v>
      </c>
      <c r="I204" s="39"/>
      <c r="J204" s="39"/>
      <c r="K204" s="39">
        <v>18478</v>
      </c>
      <c r="L204" s="39"/>
    </row>
    <row r="205" spans="1:14" x14ac:dyDescent="0.25">
      <c r="A205">
        <v>3600</v>
      </c>
      <c r="B205" s="150">
        <v>43188</v>
      </c>
      <c r="C205" s="10">
        <v>4800</v>
      </c>
      <c r="D205" s="233">
        <v>15.324999999999999</v>
      </c>
      <c r="E205" s="39">
        <v>16.13</v>
      </c>
      <c r="F205" s="39">
        <f t="shared" si="111"/>
        <v>3863.9999999999986</v>
      </c>
      <c r="G205" s="39">
        <f t="shared" si="112"/>
        <v>73560</v>
      </c>
      <c r="H205" s="222">
        <f t="shared" si="113"/>
        <v>5.2528548123980411E-2</v>
      </c>
      <c r="I205" s="39"/>
      <c r="J205" s="39"/>
      <c r="K205" s="39">
        <v>18477</v>
      </c>
      <c r="L205" s="39"/>
    </row>
    <row r="206" spans="1:14" x14ac:dyDescent="0.25">
      <c r="B206" s="150">
        <v>43192</v>
      </c>
      <c r="C206" s="810">
        <v>5000</v>
      </c>
      <c r="D206" s="811">
        <v>15.34</v>
      </c>
      <c r="E206" s="39">
        <v>15.57</v>
      </c>
      <c r="F206" s="39">
        <f t="shared" si="111"/>
        <v>1150.000000000002</v>
      </c>
      <c r="G206" s="39">
        <f t="shared" si="112"/>
        <v>76700</v>
      </c>
      <c r="H206" s="222">
        <f t="shared" si="113"/>
        <v>1.4993481095176038E-2</v>
      </c>
      <c r="I206" s="39"/>
      <c r="J206" s="39"/>
      <c r="K206" s="39">
        <v>15767</v>
      </c>
      <c r="L206" s="39"/>
    </row>
    <row r="207" spans="1:14" x14ac:dyDescent="0.25">
      <c r="A207">
        <v>4000</v>
      </c>
      <c r="B207" s="150">
        <v>43192</v>
      </c>
      <c r="C207" s="10">
        <v>5200</v>
      </c>
      <c r="D207" s="233">
        <v>15.336</v>
      </c>
      <c r="E207" s="39">
        <v>15.57</v>
      </c>
      <c r="F207" s="39">
        <f t="shared" si="111"/>
        <v>1216.8</v>
      </c>
      <c r="G207" s="39">
        <f t="shared" si="112"/>
        <v>79747.199999999997</v>
      </c>
      <c r="H207" s="222">
        <f t="shared" si="113"/>
        <v>1.5258215962441313E-2</v>
      </c>
      <c r="I207" s="39"/>
      <c r="J207" s="39"/>
      <c r="K207" s="39">
        <v>15831</v>
      </c>
      <c r="L207" s="39"/>
      <c r="N207" s="70"/>
    </row>
    <row r="208" spans="1:14" x14ac:dyDescent="0.25">
      <c r="A208">
        <v>3600</v>
      </c>
      <c r="B208" s="150">
        <v>43193</v>
      </c>
      <c r="C208" s="10">
        <v>4800</v>
      </c>
      <c r="D208" s="233">
        <v>15.29</v>
      </c>
      <c r="E208" s="39">
        <v>16</v>
      </c>
      <c r="F208" s="39">
        <f t="shared" si="111"/>
        <v>3408.0000000000041</v>
      </c>
      <c r="G208" s="39">
        <f t="shared" si="112"/>
        <v>73392</v>
      </c>
      <c r="H208" s="222">
        <f t="shared" si="113"/>
        <v>4.6435578809679585E-2</v>
      </c>
      <c r="I208" s="39"/>
      <c r="J208" s="39"/>
      <c r="K208" s="39">
        <v>18019</v>
      </c>
      <c r="L208" s="39"/>
    </row>
    <row r="209" spans="1:16" x14ac:dyDescent="0.25">
      <c r="A209">
        <v>2800</v>
      </c>
      <c r="B209" s="150">
        <v>43195</v>
      </c>
      <c r="C209" s="7">
        <v>4000</v>
      </c>
      <c r="D209" s="422">
        <v>14.989000000000001</v>
      </c>
      <c r="E209" s="39">
        <v>16.8</v>
      </c>
      <c r="F209" s="39">
        <f t="shared" si="111"/>
        <v>7244</v>
      </c>
      <c r="G209" s="39">
        <f t="shared" si="112"/>
        <v>59956</v>
      </c>
      <c r="H209" s="222">
        <f t="shared" si="113"/>
        <v>0.1208219360864634</v>
      </c>
      <c r="I209" s="39">
        <v>14.5</v>
      </c>
      <c r="J209" s="39"/>
      <c r="K209" s="39">
        <v>21859</v>
      </c>
      <c r="L209" s="39"/>
    </row>
    <row r="210" spans="1:16" x14ac:dyDescent="0.25">
      <c r="A210">
        <v>2800</v>
      </c>
      <c r="B210" s="150">
        <v>43196</v>
      </c>
      <c r="C210" s="10">
        <v>4400</v>
      </c>
      <c r="D210" s="233">
        <v>15.12</v>
      </c>
      <c r="E210" s="39">
        <v>16.420000000000002</v>
      </c>
      <c r="F210" s="39">
        <f t="shared" ref="F210:F213" si="114">C210*(E210-D210)</f>
        <v>5720.0000000000109</v>
      </c>
      <c r="G210" s="39">
        <f t="shared" ref="G210:G213" si="115">D210*C210</f>
        <v>66528</v>
      </c>
      <c r="H210" s="222">
        <f t="shared" ref="H210:H213" si="116">(E210-D210)/D210</f>
        <v>8.5978835978836154E-2</v>
      </c>
      <c r="I210" s="39"/>
      <c r="J210" s="39"/>
      <c r="K210" s="39">
        <v>20339</v>
      </c>
      <c r="L210" s="39"/>
    </row>
    <row r="211" spans="1:16" x14ac:dyDescent="0.25">
      <c r="A211">
        <v>2800</v>
      </c>
      <c r="B211" s="150">
        <v>43196</v>
      </c>
      <c r="C211" s="10">
        <v>4800</v>
      </c>
      <c r="D211" s="233">
        <v>15.2</v>
      </c>
      <c r="E211" s="39">
        <v>16.100000000000001</v>
      </c>
      <c r="F211" s="39">
        <f t="shared" si="114"/>
        <v>4320.00000000001</v>
      </c>
      <c r="G211" s="39">
        <f t="shared" si="115"/>
        <v>72960</v>
      </c>
      <c r="H211" s="222">
        <f t="shared" si="116"/>
        <v>5.9210526315789616E-2</v>
      </c>
      <c r="I211" s="39"/>
      <c r="J211" s="39">
        <v>54</v>
      </c>
      <c r="K211" s="39">
        <v>18931</v>
      </c>
      <c r="L211" s="39"/>
    </row>
    <row r="212" spans="1:16" x14ac:dyDescent="0.25">
      <c r="A212">
        <v>2000</v>
      </c>
      <c r="B212" s="150">
        <v>43200</v>
      </c>
      <c r="C212" s="7">
        <v>4000</v>
      </c>
      <c r="D212" s="422">
        <v>14.845000000000001</v>
      </c>
      <c r="E212" s="39">
        <v>17.059999999999999</v>
      </c>
      <c r="F212" s="39">
        <f t="shared" si="114"/>
        <v>8859.9999999999927</v>
      </c>
      <c r="G212" s="39">
        <f t="shared" si="115"/>
        <v>59380</v>
      </c>
      <c r="H212" s="222">
        <f t="shared" si="116"/>
        <v>0.14920848770629827</v>
      </c>
      <c r="I212" s="39"/>
      <c r="J212" s="39"/>
      <c r="K212" s="39">
        <v>23474</v>
      </c>
      <c r="L212" s="39"/>
    </row>
    <row r="213" spans="1:16" x14ac:dyDescent="0.25">
      <c r="A213">
        <v>2000</v>
      </c>
      <c r="B213" s="150">
        <v>43208</v>
      </c>
      <c r="C213" s="10">
        <v>4000</v>
      </c>
      <c r="D213" s="233">
        <v>14.845000000000001</v>
      </c>
      <c r="E213" s="39">
        <v>18.23</v>
      </c>
      <c r="F213" s="39">
        <f t="shared" si="114"/>
        <v>13540</v>
      </c>
      <c r="G213" s="39">
        <f t="shared" si="115"/>
        <v>59380</v>
      </c>
      <c r="H213" s="222">
        <f t="shared" si="116"/>
        <v>0.22802290333445602</v>
      </c>
      <c r="I213" s="39"/>
      <c r="J213" s="39"/>
      <c r="K213" s="39">
        <v>28154</v>
      </c>
      <c r="L213" s="39"/>
    </row>
    <row r="214" spans="1:16" x14ac:dyDescent="0.25">
      <c r="A214">
        <v>2600</v>
      </c>
      <c r="B214" s="150">
        <v>43216</v>
      </c>
      <c r="C214" s="10">
        <v>4000</v>
      </c>
      <c r="D214" s="233">
        <v>14.845000000000001</v>
      </c>
      <c r="E214" s="39">
        <v>18.46</v>
      </c>
      <c r="F214" s="39">
        <f t="shared" ref="F214" si="117">C214*(E214-D214)</f>
        <v>14460</v>
      </c>
      <c r="G214" s="39">
        <f t="shared" ref="G214" si="118">D214*C214</f>
        <v>59380</v>
      </c>
      <c r="H214" s="222">
        <f t="shared" ref="H214" si="119">(E214-D214)/D214</f>
        <v>0.24351633546648704</v>
      </c>
      <c r="I214" s="39"/>
      <c r="J214" s="39"/>
      <c r="K214" s="39">
        <v>29075</v>
      </c>
      <c r="L214" s="39"/>
    </row>
    <row r="215" spans="1:16" x14ac:dyDescent="0.25">
      <c r="A215">
        <v>2600</v>
      </c>
      <c r="B215" s="150">
        <v>43217</v>
      </c>
      <c r="C215" s="10">
        <v>4300</v>
      </c>
      <c r="D215" s="233">
        <v>15.0785</v>
      </c>
      <c r="E215" s="39">
        <v>18.11</v>
      </c>
      <c r="F215" s="39">
        <f t="shared" ref="F215" si="120">C215*(E215-D215)</f>
        <v>13035.449999999997</v>
      </c>
      <c r="G215" s="39">
        <f t="shared" ref="G215" si="121">D215*C215</f>
        <v>64837.55</v>
      </c>
      <c r="H215" s="222">
        <f t="shared" ref="H215" si="122">(E215-D215)/D215</f>
        <v>0.20104784958716049</v>
      </c>
      <c r="I215" s="39"/>
      <c r="J215" s="39"/>
      <c r="K215" s="39">
        <v>27651</v>
      </c>
      <c r="L215" s="39"/>
    </row>
    <row r="216" spans="1:16" x14ac:dyDescent="0.25">
      <c r="A216">
        <v>2500</v>
      </c>
      <c r="B216" s="150">
        <v>43220</v>
      </c>
      <c r="C216" s="7">
        <v>4000</v>
      </c>
      <c r="D216" s="422">
        <v>14.829000000000001</v>
      </c>
      <c r="E216" s="39">
        <v>18.25</v>
      </c>
      <c r="F216" s="39">
        <f t="shared" ref="F216:F219" si="123">C216*(E216-D216)</f>
        <v>13683.999999999998</v>
      </c>
      <c r="G216" s="39">
        <f t="shared" ref="G216:G219" si="124">D216*C216</f>
        <v>59316</v>
      </c>
      <c r="H216" s="222">
        <f t="shared" ref="H216:H219" si="125">(E216-D216)/D216</f>
        <v>0.230696607997842</v>
      </c>
      <c r="I216" s="39"/>
      <c r="J216" s="39"/>
      <c r="K216" s="39">
        <v>28301</v>
      </c>
      <c r="L216" s="39"/>
    </row>
    <row r="217" spans="1:16" x14ac:dyDescent="0.25">
      <c r="A217">
        <v>2400</v>
      </c>
      <c r="B217" s="150">
        <v>43223</v>
      </c>
      <c r="C217" s="10">
        <v>3500</v>
      </c>
      <c r="D217" s="233">
        <v>14.14</v>
      </c>
      <c r="E217" s="39">
        <v>19.440000000000001</v>
      </c>
      <c r="F217" s="39">
        <f t="shared" si="123"/>
        <v>18550.000000000004</v>
      </c>
      <c r="G217" s="39">
        <f t="shared" si="124"/>
        <v>49490</v>
      </c>
      <c r="H217" s="222">
        <f t="shared" si="125"/>
        <v>0.37482319660537483</v>
      </c>
      <c r="I217" s="39"/>
      <c r="J217" s="39"/>
      <c r="K217" s="39">
        <v>32986</v>
      </c>
      <c r="L217" s="39"/>
      <c r="P217" s="70"/>
    </row>
    <row r="218" spans="1:16" ht="15" customHeight="1" x14ac:dyDescent="0.25">
      <c r="A218">
        <v>1900</v>
      </c>
      <c r="B218" s="150">
        <v>43224</v>
      </c>
      <c r="C218" s="10">
        <v>3000</v>
      </c>
      <c r="D218" s="233">
        <v>13.243</v>
      </c>
      <c r="E218" s="39">
        <v>19.72</v>
      </c>
      <c r="F218" s="39">
        <f t="shared" si="123"/>
        <v>19430.999999999996</v>
      </c>
      <c r="G218" s="39">
        <f t="shared" si="124"/>
        <v>39729</v>
      </c>
      <c r="H218" s="222">
        <f t="shared" si="125"/>
        <v>0.48908857509627718</v>
      </c>
      <c r="I218" s="39"/>
      <c r="J218" s="39"/>
      <c r="K218" s="39">
        <v>34045</v>
      </c>
      <c r="L218" s="39"/>
      <c r="P218" s="70"/>
    </row>
    <row r="219" spans="1:16" x14ac:dyDescent="0.25">
      <c r="A219">
        <v>2400</v>
      </c>
      <c r="B219" s="150">
        <v>43227</v>
      </c>
      <c r="C219" s="228">
        <v>3000</v>
      </c>
      <c r="D219" s="827">
        <v>13.17</v>
      </c>
      <c r="E219" s="39">
        <v>19.77</v>
      </c>
      <c r="F219" s="39">
        <f t="shared" si="123"/>
        <v>19800</v>
      </c>
      <c r="G219" s="39">
        <f t="shared" si="124"/>
        <v>39510</v>
      </c>
      <c r="H219" s="222">
        <f t="shared" si="125"/>
        <v>0.50113895216400905</v>
      </c>
      <c r="I219" s="39"/>
      <c r="J219" s="39"/>
      <c r="K219" s="39">
        <v>34414</v>
      </c>
      <c r="L219" s="39"/>
    </row>
    <row r="220" spans="1:16" x14ac:dyDescent="0.25">
      <c r="A220">
        <v>2100</v>
      </c>
      <c r="B220" s="150">
        <v>43229</v>
      </c>
      <c r="C220" s="10">
        <v>2700</v>
      </c>
      <c r="D220" s="233">
        <v>12.3</v>
      </c>
      <c r="E220" s="39">
        <v>21.26</v>
      </c>
      <c r="F220" s="39">
        <f t="shared" ref="F220" si="126">C220*(E220-D220)</f>
        <v>24192.000000000004</v>
      </c>
      <c r="G220" s="39">
        <f t="shared" ref="G220" si="127">D220*C220</f>
        <v>33210</v>
      </c>
      <c r="H220" s="222">
        <f t="shared" ref="H220" si="128">(E220-D220)/D220</f>
        <v>0.72845528455284558</v>
      </c>
      <c r="I220" s="39"/>
      <c r="J220" s="39"/>
      <c r="K220" s="39">
        <v>38800</v>
      </c>
      <c r="L220" s="39"/>
    </row>
    <row r="221" spans="1:16" x14ac:dyDescent="0.25">
      <c r="A221">
        <v>1400</v>
      </c>
      <c r="B221" s="150">
        <v>43234</v>
      </c>
      <c r="C221" s="420">
        <v>2000</v>
      </c>
      <c r="D221" s="846">
        <v>9.0908999999999995</v>
      </c>
      <c r="E221" s="39">
        <v>21.42</v>
      </c>
      <c r="F221" s="39">
        <f t="shared" ref="F221:F223" si="129">C221*(E221-D221)</f>
        <v>24658.200000000004</v>
      </c>
      <c r="G221" s="39">
        <f t="shared" ref="G221:G223" si="130">D221*C221</f>
        <v>18181.8</v>
      </c>
      <c r="H221" s="222">
        <f t="shared" ref="H221:H223" si="131">(E221-D221)/D221</f>
        <v>1.3562023562023564</v>
      </c>
      <c r="I221" s="39"/>
      <c r="J221" s="39"/>
      <c r="K221" s="39">
        <v>39274</v>
      </c>
      <c r="L221" s="39"/>
    </row>
    <row r="222" spans="1:16" x14ac:dyDescent="0.25">
      <c r="A222">
        <v>400</v>
      </c>
      <c r="B222" s="150">
        <v>43241</v>
      </c>
      <c r="C222" s="10">
        <v>1000</v>
      </c>
      <c r="D222" s="233">
        <v>-3.7</v>
      </c>
      <c r="E222" s="39">
        <v>21.9</v>
      </c>
      <c r="F222" s="39">
        <f t="shared" si="129"/>
        <v>25599.999999999996</v>
      </c>
      <c r="G222" s="39">
        <f t="shared" si="130"/>
        <v>-3700</v>
      </c>
      <c r="H222" s="222">
        <f t="shared" si="131"/>
        <v>-6.9189189189189184</v>
      </c>
      <c r="I222" s="39"/>
      <c r="J222" s="39"/>
      <c r="K222" s="39">
        <v>40213</v>
      </c>
      <c r="L222" s="39"/>
    </row>
    <row r="223" spans="1:16" x14ac:dyDescent="0.25">
      <c r="A223">
        <v>400</v>
      </c>
      <c r="B223" s="150">
        <v>43245</v>
      </c>
      <c r="C223" s="10">
        <v>2000</v>
      </c>
      <c r="D223" s="233">
        <v>8.4410000000000007</v>
      </c>
      <c r="E223" s="39">
        <v>20.329999999999998</v>
      </c>
      <c r="F223" s="39">
        <f t="shared" si="129"/>
        <v>23777.999999999996</v>
      </c>
      <c r="G223" s="39">
        <f t="shared" si="130"/>
        <v>16882</v>
      </c>
      <c r="H223" s="222">
        <f t="shared" si="131"/>
        <v>1.4084824072977131</v>
      </c>
      <c r="I223" s="39"/>
      <c r="J223" s="39"/>
      <c r="K223" s="39">
        <v>38393</v>
      </c>
      <c r="L223" s="39"/>
    </row>
    <row r="224" spans="1:16" x14ac:dyDescent="0.25">
      <c r="A224">
        <v>700</v>
      </c>
      <c r="B224" s="150">
        <v>43250</v>
      </c>
      <c r="C224" s="10">
        <v>2000</v>
      </c>
      <c r="D224" s="233">
        <v>8.4410000000000007</v>
      </c>
      <c r="E224" s="39">
        <v>21.53</v>
      </c>
      <c r="F224" s="39">
        <f t="shared" ref="F224" si="132">C224*(E224-D224)</f>
        <v>26178</v>
      </c>
      <c r="G224" s="39">
        <f t="shared" ref="G224" si="133">D224*C224</f>
        <v>16882</v>
      </c>
      <c r="H224" s="222">
        <f t="shared" ref="H224" si="134">(E224-D224)/D224</f>
        <v>1.5506456580973818</v>
      </c>
      <c r="I224" s="39"/>
      <c r="J224" s="39"/>
      <c r="K224" s="39">
        <v>40793</v>
      </c>
      <c r="L224" s="39"/>
    </row>
    <row r="225" spans="1:17" x14ac:dyDescent="0.25">
      <c r="A225">
        <v>700</v>
      </c>
      <c r="B225" s="150">
        <v>43262</v>
      </c>
      <c r="C225" s="10">
        <v>1700</v>
      </c>
      <c r="D225" s="233">
        <v>6.1519000000000004</v>
      </c>
      <c r="E225" s="39">
        <v>21.47</v>
      </c>
      <c r="F225" s="39">
        <f t="shared" ref="F225:F228" si="135">C225*(E225-D225)</f>
        <v>26040.769999999997</v>
      </c>
      <c r="G225" s="39">
        <f t="shared" ref="G225:G228" si="136">D225*C225</f>
        <v>10458.230000000001</v>
      </c>
      <c r="H225" s="222">
        <f t="shared" ref="H225:H228" si="137">(E225-D225)/D225</f>
        <v>2.4899787057656977</v>
      </c>
      <c r="I225" s="39"/>
      <c r="J225" s="39"/>
      <c r="K225" s="39">
        <v>40656</v>
      </c>
      <c r="L225" s="39"/>
    </row>
    <row r="226" spans="1:17" x14ac:dyDescent="0.25">
      <c r="A226">
        <v>700</v>
      </c>
      <c r="B226" s="150">
        <v>43266</v>
      </c>
      <c r="C226" s="423">
        <v>2000</v>
      </c>
      <c r="D226" s="847">
        <v>8.3116000000000003</v>
      </c>
      <c r="E226" s="39">
        <v>19.989999999999998</v>
      </c>
      <c r="F226" s="39">
        <f t="shared" si="135"/>
        <v>23356.799999999996</v>
      </c>
      <c r="G226" s="39">
        <f t="shared" si="136"/>
        <v>16623.2</v>
      </c>
      <c r="H226" s="222">
        <f t="shared" si="137"/>
        <v>1.4050724288945566</v>
      </c>
      <c r="I226" s="39"/>
      <c r="J226" s="39"/>
      <c r="K226" s="39">
        <v>37972</v>
      </c>
      <c r="L226" s="39">
        <v>64.3</v>
      </c>
    </row>
    <row r="227" spans="1:17" ht="15" customHeight="1" x14ac:dyDescent="0.25">
      <c r="A227">
        <v>700</v>
      </c>
      <c r="B227" s="150">
        <v>43266</v>
      </c>
      <c r="C227" s="10">
        <v>2500</v>
      </c>
      <c r="D227" s="233">
        <v>10.645</v>
      </c>
      <c r="E227" s="39">
        <v>19.989999999999998</v>
      </c>
      <c r="F227" s="39">
        <f t="shared" si="135"/>
        <v>23362.499999999996</v>
      </c>
      <c r="G227" s="39">
        <f t="shared" si="136"/>
        <v>26612.5</v>
      </c>
      <c r="H227" s="222">
        <f t="shared" si="137"/>
        <v>0.87787693752935647</v>
      </c>
      <c r="I227" s="39"/>
      <c r="J227" s="39"/>
      <c r="K227" s="39">
        <v>37978</v>
      </c>
      <c r="L227" s="39"/>
    </row>
    <row r="228" spans="1:17" ht="15" customHeight="1" x14ac:dyDescent="0.25">
      <c r="A228">
        <v>200</v>
      </c>
      <c r="B228" s="150">
        <v>43269</v>
      </c>
      <c r="C228" s="10">
        <v>2000</v>
      </c>
      <c r="D228" s="233">
        <v>8.1714000000000002</v>
      </c>
      <c r="E228" s="39">
        <v>20.32</v>
      </c>
      <c r="F228" s="39">
        <f t="shared" si="135"/>
        <v>24297.200000000001</v>
      </c>
      <c r="G228" s="39">
        <f t="shared" si="136"/>
        <v>16342.800000000001</v>
      </c>
      <c r="H228" s="222">
        <f t="shared" si="137"/>
        <v>1.48672198154539</v>
      </c>
      <c r="I228" s="39"/>
      <c r="J228" s="39"/>
      <c r="K228" s="39">
        <v>38913</v>
      </c>
      <c r="L228" s="39">
        <v>65.62</v>
      </c>
    </row>
    <row r="229" spans="1:17" x14ac:dyDescent="0.25">
      <c r="A229">
        <v>0</v>
      </c>
      <c r="B229" s="150">
        <v>43271</v>
      </c>
      <c r="C229" s="10">
        <v>1800</v>
      </c>
      <c r="D229" s="233">
        <v>6.7594000000000003</v>
      </c>
      <c r="E229" s="39">
        <v>21.06</v>
      </c>
      <c r="F229" s="39">
        <f t="shared" ref="F229:F231" si="138">C229*(E229-D229)</f>
        <v>25741.079999999998</v>
      </c>
      <c r="G229" s="39">
        <f t="shared" ref="G229:G231" si="139">D229*C229</f>
        <v>12166.92</v>
      </c>
      <c r="H229" s="222">
        <f t="shared" ref="H229:H231" si="140">(E229-D229)/D229</f>
        <v>2.1156611533568066</v>
      </c>
      <c r="I229" s="39"/>
      <c r="J229" s="39"/>
      <c r="K229" s="39">
        <v>40357</v>
      </c>
      <c r="L229" s="39">
        <v>65.91</v>
      </c>
      <c r="P229" s="1"/>
    </row>
    <row r="230" spans="1:17" x14ac:dyDescent="0.25">
      <c r="A230">
        <v>0</v>
      </c>
      <c r="B230" s="150">
        <v>43272</v>
      </c>
      <c r="C230" s="10">
        <v>2000</v>
      </c>
      <c r="D230" s="233">
        <v>8.0879999999999992</v>
      </c>
      <c r="E230" s="39">
        <v>19.920000000000002</v>
      </c>
      <c r="F230" s="39">
        <f t="shared" si="138"/>
        <v>23664.000000000004</v>
      </c>
      <c r="G230" s="39">
        <f t="shared" si="139"/>
        <v>16175.999999999998</v>
      </c>
      <c r="H230" s="222">
        <f t="shared" si="140"/>
        <v>1.4629080118694366</v>
      </c>
      <c r="I230" s="39"/>
      <c r="J230" s="39"/>
      <c r="K230" s="39">
        <v>38279</v>
      </c>
      <c r="L230" s="39">
        <v>69.28</v>
      </c>
      <c r="Q230" s="70"/>
    </row>
    <row r="231" spans="1:17" x14ac:dyDescent="0.25">
      <c r="A231">
        <v>1000</v>
      </c>
      <c r="B231" s="150">
        <v>43276</v>
      </c>
      <c r="C231" s="10">
        <v>2200</v>
      </c>
      <c r="D231" s="233">
        <v>9.2149999999999999</v>
      </c>
      <c r="E231" s="39">
        <v>20.3</v>
      </c>
      <c r="F231" s="39">
        <f t="shared" si="138"/>
        <v>24387.000000000004</v>
      </c>
      <c r="G231" s="39">
        <f t="shared" si="139"/>
        <v>20273</v>
      </c>
      <c r="H231" s="222">
        <f t="shared" si="140"/>
        <v>1.202930005425936</v>
      </c>
      <c r="I231" s="39"/>
      <c r="J231" s="39"/>
      <c r="K231" s="39">
        <v>39003</v>
      </c>
      <c r="L231" s="39">
        <v>70.53</v>
      </c>
      <c r="P231" s="1"/>
    </row>
    <row r="232" spans="1:17" x14ac:dyDescent="0.25">
      <c r="A232">
        <v>1000</v>
      </c>
      <c r="B232" s="150">
        <v>43278</v>
      </c>
      <c r="C232" s="10">
        <v>2200</v>
      </c>
      <c r="D232" s="233">
        <v>9.2149999999999999</v>
      </c>
      <c r="E232" s="39">
        <v>21.22</v>
      </c>
      <c r="F232" s="39">
        <f t="shared" ref="F232" si="141">C232*(E232-D232)</f>
        <v>26410.999999999996</v>
      </c>
      <c r="G232" s="39">
        <f t="shared" ref="G232" si="142">D232*C232</f>
        <v>20273</v>
      </c>
      <c r="H232" s="222">
        <f t="shared" ref="H232" si="143">(E232-D232)/D232</f>
        <v>1.3027672273467172</v>
      </c>
      <c r="I232" s="39"/>
      <c r="J232" s="39"/>
      <c r="K232" s="39">
        <v>41027</v>
      </c>
      <c r="L232" s="39"/>
      <c r="P232" s="1"/>
      <c r="Q232" s="70"/>
    </row>
    <row r="233" spans="1:17" x14ac:dyDescent="0.25">
      <c r="A233">
        <v>1000</v>
      </c>
      <c r="B233" s="150">
        <v>43283</v>
      </c>
      <c r="C233" s="10">
        <v>2200</v>
      </c>
      <c r="D233" s="233">
        <v>9.2149999999999999</v>
      </c>
      <c r="E233" s="39">
        <v>20.66</v>
      </c>
      <c r="F233" s="39">
        <f t="shared" ref="F233:F236" si="144">C233*(E233-D233)</f>
        <v>25179</v>
      </c>
      <c r="G233" s="39">
        <f t="shared" ref="G233:G236" si="145">D233*C233</f>
        <v>20273</v>
      </c>
      <c r="H233" s="222">
        <f t="shared" ref="H233:H236" si="146">(E233-D233)/D233</f>
        <v>1.2419967444384157</v>
      </c>
      <c r="I233" s="39"/>
      <c r="J233" s="39"/>
      <c r="K233" s="39">
        <v>39795</v>
      </c>
      <c r="L233" s="39"/>
      <c r="P233" s="1"/>
    </row>
    <row r="234" spans="1:17" x14ac:dyDescent="0.25">
      <c r="A234">
        <v>800</v>
      </c>
      <c r="B234" s="150">
        <v>43284</v>
      </c>
      <c r="C234" s="423">
        <v>2000</v>
      </c>
      <c r="D234" s="847">
        <v>7.9779999999999998</v>
      </c>
      <c r="E234" s="39">
        <v>21</v>
      </c>
      <c r="F234" s="39">
        <f t="shared" si="144"/>
        <v>26044</v>
      </c>
      <c r="G234" s="39">
        <f t="shared" si="145"/>
        <v>15956</v>
      </c>
      <c r="H234" s="222">
        <f t="shared" si="146"/>
        <v>1.6322386563048383</v>
      </c>
      <c r="I234" s="39"/>
      <c r="J234" s="39"/>
      <c r="K234" s="39">
        <v>40659</v>
      </c>
      <c r="L234" s="39"/>
      <c r="P234" s="1"/>
      <c r="Q234" s="70"/>
    </row>
    <row r="235" spans="1:17" x14ac:dyDescent="0.25">
      <c r="B235" s="150">
        <v>43286</v>
      </c>
      <c r="C235" s="10">
        <v>2200</v>
      </c>
      <c r="D235" s="233">
        <v>9.1513000000000009</v>
      </c>
      <c r="E235" s="39">
        <v>20.88</v>
      </c>
      <c r="F235" s="39">
        <f t="shared" si="144"/>
        <v>25803.139999999996</v>
      </c>
      <c r="G235" s="39">
        <f t="shared" si="145"/>
        <v>20132.86</v>
      </c>
      <c r="H235" s="222">
        <f t="shared" si="146"/>
        <v>1.2816430452504013</v>
      </c>
      <c r="I235" s="39"/>
      <c r="J235" s="39"/>
      <c r="K235" s="39">
        <v>40419</v>
      </c>
      <c r="L235" s="39"/>
      <c r="Q235" s="70"/>
    </row>
    <row r="236" spans="1:17" x14ac:dyDescent="0.25">
      <c r="A236">
        <v>800</v>
      </c>
      <c r="B236" s="150">
        <v>43286</v>
      </c>
      <c r="C236" s="10">
        <v>2500</v>
      </c>
      <c r="D236" s="233">
        <v>10.535</v>
      </c>
      <c r="E236" s="39">
        <v>20.7</v>
      </c>
      <c r="F236" s="39">
        <f t="shared" si="144"/>
        <v>25412.499999999996</v>
      </c>
      <c r="G236" s="39">
        <f t="shared" si="145"/>
        <v>26337.5</v>
      </c>
      <c r="H236" s="222">
        <f t="shared" si="146"/>
        <v>0.96487897484575214</v>
      </c>
      <c r="I236" s="39"/>
      <c r="J236" s="39"/>
      <c r="K236" s="39">
        <v>40028</v>
      </c>
      <c r="L236" s="39"/>
      <c r="P236" s="1"/>
    </row>
    <row r="237" spans="1:17" x14ac:dyDescent="0.25">
      <c r="A237">
        <v>300</v>
      </c>
      <c r="B237" s="150">
        <v>43287</v>
      </c>
      <c r="C237" s="423">
        <v>2000</v>
      </c>
      <c r="D237" s="847">
        <v>7.9015000000000004</v>
      </c>
      <c r="E237" s="39">
        <v>21.07</v>
      </c>
      <c r="F237" s="39">
        <f t="shared" ref="F237:F238" si="147">C237*(E237-D237)</f>
        <v>26337</v>
      </c>
      <c r="G237" s="39">
        <f t="shared" ref="G237:G238" si="148">D237*C237</f>
        <v>15803</v>
      </c>
      <c r="H237" s="222">
        <f t="shared" ref="H237:H238" si="149">(E237-D237)/D237</f>
        <v>1.666582294501044</v>
      </c>
      <c r="I237" s="39"/>
      <c r="J237" s="39"/>
      <c r="K237" s="39">
        <v>40952</v>
      </c>
      <c r="L237" s="39"/>
    </row>
    <row r="238" spans="1:17" x14ac:dyDescent="0.25">
      <c r="A238">
        <v>0</v>
      </c>
      <c r="B238" s="150">
        <v>43290</v>
      </c>
      <c r="C238" s="10">
        <v>1700</v>
      </c>
      <c r="D238" s="233">
        <v>5.4859999999999998</v>
      </c>
      <c r="E238" s="39">
        <v>21.75</v>
      </c>
      <c r="F238" s="39">
        <f t="shared" si="147"/>
        <v>27648.799999999999</v>
      </c>
      <c r="G238" s="39">
        <f t="shared" si="148"/>
        <v>9326.1999999999989</v>
      </c>
      <c r="H238" s="222">
        <f t="shared" si="149"/>
        <v>2.9646372584761211</v>
      </c>
      <c r="I238" s="39"/>
      <c r="J238" s="39"/>
      <c r="K238" s="39">
        <v>42264</v>
      </c>
      <c r="L238" s="39"/>
    </row>
    <row r="239" spans="1:17" x14ac:dyDescent="0.25">
      <c r="B239" s="150"/>
      <c r="C239" s="10"/>
      <c r="D239" s="233"/>
      <c r="E239" s="39"/>
      <c r="F239" s="39"/>
      <c r="G239" s="39"/>
      <c r="H239" s="222"/>
      <c r="I239" s="39"/>
      <c r="J239" s="39"/>
      <c r="K239" s="39"/>
      <c r="L239" s="39"/>
    </row>
    <row r="240" spans="1:17" x14ac:dyDescent="0.25">
      <c r="B240" s="150"/>
      <c r="C240" s="10"/>
      <c r="D240" s="233"/>
      <c r="E240" s="39"/>
      <c r="F240" s="39"/>
      <c r="G240" s="39"/>
      <c r="H240" s="222"/>
      <c r="I240" s="39"/>
      <c r="J240" s="39"/>
      <c r="K240" s="39"/>
      <c r="L240" s="39"/>
    </row>
    <row r="242" spans="2:9" ht="15" customHeight="1" x14ac:dyDescent="0.25">
      <c r="B242" s="618" t="s">
        <v>113</v>
      </c>
      <c r="C242" s="484" t="s">
        <v>146</v>
      </c>
      <c r="D242" s="619" t="s">
        <v>145</v>
      </c>
      <c r="E242" s="486" t="s">
        <v>147</v>
      </c>
      <c r="F242" s="487" t="s">
        <v>65</v>
      </c>
      <c r="G242" s="488" t="s">
        <v>151</v>
      </c>
      <c r="H242" s="487" t="s">
        <v>88</v>
      </c>
      <c r="I242" s="488" t="s">
        <v>154</v>
      </c>
    </row>
    <row r="243" spans="2:9" ht="18.75" customHeight="1" x14ac:dyDescent="0.25">
      <c r="B243" s="620">
        <v>42305</v>
      </c>
      <c r="C243" s="362">
        <v>2000</v>
      </c>
      <c r="D243" s="621">
        <v>34.06</v>
      </c>
      <c r="E243" s="363">
        <v>17.68</v>
      </c>
      <c r="F243" s="363">
        <v>-32767.45</v>
      </c>
      <c r="G243" s="363">
        <f t="shared" ref="G243:G249" si="150">IF(C243=0, 0,D243*C243)</f>
        <v>68120</v>
      </c>
      <c r="H243" s="365">
        <f t="shared" ref="H243:H249" si="151">IF(C243=0, D243, (E243-D243)/D243)</f>
        <v>-0.48091603053435117</v>
      </c>
      <c r="I243" s="363"/>
    </row>
    <row r="244" spans="2:9" x14ac:dyDescent="0.25">
      <c r="B244" s="620">
        <v>42307</v>
      </c>
      <c r="C244" s="362">
        <v>0</v>
      </c>
      <c r="D244" s="621" t="s">
        <v>128</v>
      </c>
      <c r="E244" s="363">
        <v>17.55</v>
      </c>
      <c r="F244" s="363">
        <v>-30722.2</v>
      </c>
      <c r="G244" s="363">
        <f t="shared" si="150"/>
        <v>0</v>
      </c>
      <c r="H244" s="365" t="str">
        <f t="shared" si="151"/>
        <v>N/A</v>
      </c>
      <c r="I244" s="363"/>
    </row>
    <row r="245" spans="2:9" x14ac:dyDescent="0.25">
      <c r="B245" s="620">
        <v>42310</v>
      </c>
      <c r="C245" s="362">
        <v>0</v>
      </c>
      <c r="D245" s="621" t="s">
        <v>128</v>
      </c>
      <c r="E245" s="363">
        <v>19.010000000000002</v>
      </c>
      <c r="F245" s="363">
        <v>-30693.25</v>
      </c>
      <c r="G245" s="363">
        <f t="shared" si="150"/>
        <v>0</v>
      </c>
      <c r="H245" s="365" t="str">
        <f t="shared" si="151"/>
        <v>N/A</v>
      </c>
      <c r="I245" s="363"/>
    </row>
    <row r="246" spans="2:9" x14ac:dyDescent="0.25">
      <c r="B246" s="620">
        <v>42314</v>
      </c>
      <c r="C246" s="362">
        <v>2500</v>
      </c>
      <c r="D246" s="621">
        <v>30.24</v>
      </c>
      <c r="E246" s="363">
        <v>18.29</v>
      </c>
      <c r="F246" s="363">
        <v>-29878.25</v>
      </c>
      <c r="G246" s="363">
        <f t="shared" si="150"/>
        <v>75600</v>
      </c>
      <c r="H246" s="365">
        <f t="shared" si="151"/>
        <v>-0.39517195767195767</v>
      </c>
      <c r="I246" s="363"/>
    </row>
    <row r="247" spans="2:9" x14ac:dyDescent="0.25">
      <c r="B247" s="620">
        <v>42318</v>
      </c>
      <c r="C247" s="362">
        <v>0</v>
      </c>
      <c r="D247" s="621" t="s">
        <v>128</v>
      </c>
      <c r="E247" s="363">
        <v>18.78</v>
      </c>
      <c r="F247" s="363">
        <v>-28604.09</v>
      </c>
      <c r="G247" s="363">
        <f t="shared" si="150"/>
        <v>0</v>
      </c>
      <c r="H247" s="365" t="str">
        <f t="shared" si="151"/>
        <v>N/A</v>
      </c>
      <c r="I247" s="363"/>
    </row>
    <row r="248" spans="2:9" x14ac:dyDescent="0.25">
      <c r="B248" s="620">
        <v>42328</v>
      </c>
      <c r="C248" s="362">
        <v>3078</v>
      </c>
      <c r="D248" s="621">
        <v>26.76</v>
      </c>
      <c r="E248" s="363">
        <v>17.440000000000001</v>
      </c>
      <c r="F248" s="363">
        <v>-28696.448999999906</v>
      </c>
      <c r="G248" s="363">
        <f t="shared" si="150"/>
        <v>82367.28</v>
      </c>
      <c r="H248" s="365">
        <f t="shared" si="151"/>
        <v>-0.34828101644245141</v>
      </c>
      <c r="I248" s="363"/>
    </row>
    <row r="249" spans="2:9" x14ac:dyDescent="0.25">
      <c r="B249" s="620">
        <v>42331</v>
      </c>
      <c r="C249" s="362">
        <v>0</v>
      </c>
      <c r="D249" s="621" t="s">
        <v>128</v>
      </c>
      <c r="E249" s="363">
        <v>17.53</v>
      </c>
      <c r="F249" s="363">
        <v>-28051.068999999901</v>
      </c>
      <c r="G249" s="363">
        <f t="shared" si="150"/>
        <v>0</v>
      </c>
      <c r="H249" s="365" t="str">
        <f t="shared" si="151"/>
        <v>N/A</v>
      </c>
      <c r="I249" s="363"/>
    </row>
    <row r="250" spans="2:9" x14ac:dyDescent="0.25">
      <c r="B250" s="620">
        <v>42335</v>
      </c>
      <c r="C250" s="362">
        <v>3078</v>
      </c>
      <c r="D250" s="621">
        <v>26.85</v>
      </c>
      <c r="E250" s="363">
        <v>17.73</v>
      </c>
      <c r="F250" s="363">
        <f>C250*(E250-D250)</f>
        <v>-28071.360000000004</v>
      </c>
      <c r="G250" s="363">
        <f>D250*C250</f>
        <v>82644.3</v>
      </c>
      <c r="H250" s="364">
        <f>(E250-D250)/D250</f>
        <v>-0.33966480446927377</v>
      </c>
      <c r="I250" s="363"/>
    </row>
    <row r="251" spans="2:9" x14ac:dyDescent="0.25">
      <c r="B251" s="620">
        <v>42335</v>
      </c>
      <c r="C251" s="362">
        <v>3578</v>
      </c>
      <c r="D251" s="621">
        <v>25.55</v>
      </c>
      <c r="E251" s="363">
        <v>17.440000000000001</v>
      </c>
      <c r="F251" s="363">
        <f t="shared" ref="F251:F282" si="152">C251*(E251-D251)</f>
        <v>-29017.579999999998</v>
      </c>
      <c r="G251" s="363">
        <f t="shared" ref="G251:G280" si="153">D251*C251</f>
        <v>91417.900000000009</v>
      </c>
      <c r="H251" s="364">
        <f t="shared" ref="H251:H280" si="154">(E251-D251)/D251</f>
        <v>-0.31741682974559682</v>
      </c>
      <c r="I251" s="363"/>
    </row>
    <row r="252" spans="2:9" x14ac:dyDescent="0.25">
      <c r="B252" s="620">
        <v>42340</v>
      </c>
      <c r="C252" s="362">
        <v>4178</v>
      </c>
      <c r="D252" s="621">
        <v>24.29</v>
      </c>
      <c r="E252" s="363">
        <v>16.670000000000002</v>
      </c>
      <c r="F252" s="363">
        <f t="shared" si="152"/>
        <v>-31836.35999999999</v>
      </c>
      <c r="G252" s="363">
        <f t="shared" si="153"/>
        <v>101483.62</v>
      </c>
      <c r="H252" s="364">
        <f t="shared" si="154"/>
        <v>-0.31370934540963352</v>
      </c>
      <c r="I252" s="363"/>
    </row>
    <row r="253" spans="2:9" x14ac:dyDescent="0.25">
      <c r="B253" s="620">
        <v>42342</v>
      </c>
      <c r="C253" s="362">
        <v>4678</v>
      </c>
      <c r="D253" s="621">
        <v>23.39</v>
      </c>
      <c r="E253" s="363">
        <v>16.12</v>
      </c>
      <c r="F253" s="363">
        <f t="shared" si="152"/>
        <v>-34009.06</v>
      </c>
      <c r="G253" s="363">
        <f t="shared" si="153"/>
        <v>109418.42</v>
      </c>
      <c r="H253" s="364">
        <f t="shared" si="154"/>
        <v>-0.31081658828559211</v>
      </c>
      <c r="I253" s="363"/>
    </row>
    <row r="254" spans="2:9" x14ac:dyDescent="0.25">
      <c r="B254" s="620">
        <v>42342</v>
      </c>
      <c r="C254" s="362">
        <v>4178</v>
      </c>
      <c r="D254" s="621">
        <v>24.26</v>
      </c>
      <c r="E254" s="363">
        <v>16.12</v>
      </c>
      <c r="F254" s="363">
        <f t="shared" si="152"/>
        <v>-34008.920000000006</v>
      </c>
      <c r="G254" s="363">
        <f t="shared" si="153"/>
        <v>101358.28000000001</v>
      </c>
      <c r="H254" s="364">
        <f t="shared" si="154"/>
        <v>-0.33553173948887055</v>
      </c>
      <c r="I254" s="363"/>
    </row>
    <row r="255" spans="2:9" x14ac:dyDescent="0.25">
      <c r="B255" s="620">
        <v>42345</v>
      </c>
      <c r="C255" s="362">
        <v>4678</v>
      </c>
      <c r="D255" s="621">
        <v>23.24</v>
      </c>
      <c r="E255" s="363">
        <v>14.78</v>
      </c>
      <c r="F255" s="363">
        <f t="shared" si="152"/>
        <v>-39575.879999999997</v>
      </c>
      <c r="G255" s="363">
        <f t="shared" si="153"/>
        <v>108716.71999999999</v>
      </c>
      <c r="H255" s="364">
        <f t="shared" si="154"/>
        <v>-0.36402753872633387</v>
      </c>
      <c r="I255" s="363"/>
    </row>
    <row r="256" spans="2:9" x14ac:dyDescent="0.25">
      <c r="B256" s="620">
        <v>42347</v>
      </c>
      <c r="C256" s="362">
        <v>4778</v>
      </c>
      <c r="D256" s="621">
        <v>23.06</v>
      </c>
      <c r="E256" s="363">
        <v>14.92</v>
      </c>
      <c r="F256" s="363">
        <f t="shared" si="152"/>
        <v>-38892.919999999991</v>
      </c>
      <c r="G256" s="363">
        <f t="shared" si="153"/>
        <v>110180.68</v>
      </c>
      <c r="H256" s="364">
        <f t="shared" si="154"/>
        <v>-0.3529921942758022</v>
      </c>
      <c r="I256" s="363"/>
    </row>
    <row r="257" spans="2:9" x14ac:dyDescent="0.25">
      <c r="B257" s="620">
        <v>42348</v>
      </c>
      <c r="C257" s="362">
        <v>4178</v>
      </c>
      <c r="D257" s="621">
        <v>24.23</v>
      </c>
      <c r="E257" s="363">
        <v>14.74</v>
      </c>
      <c r="F257" s="363">
        <f t="shared" si="152"/>
        <v>-39649.22</v>
      </c>
      <c r="G257" s="363">
        <f t="shared" si="153"/>
        <v>101232.94</v>
      </c>
      <c r="H257" s="364">
        <f t="shared" si="154"/>
        <v>-0.39166322740404458</v>
      </c>
      <c r="I257" s="363"/>
    </row>
    <row r="258" spans="2:9" x14ac:dyDescent="0.25">
      <c r="B258" s="620">
        <v>42349</v>
      </c>
      <c r="C258" s="362">
        <v>3678</v>
      </c>
      <c r="D258" s="621">
        <v>25.57</v>
      </c>
      <c r="E258" s="363">
        <v>14.34</v>
      </c>
      <c r="F258" s="363">
        <f t="shared" si="152"/>
        <v>-41303.94</v>
      </c>
      <c r="G258" s="363">
        <f t="shared" si="153"/>
        <v>94046.46</v>
      </c>
      <c r="H258" s="364">
        <f t="shared" si="154"/>
        <v>-0.43918654673445445</v>
      </c>
      <c r="I258" s="363"/>
    </row>
    <row r="259" spans="2:9" x14ac:dyDescent="0.25">
      <c r="B259" s="620">
        <v>42352</v>
      </c>
      <c r="C259" s="362">
        <v>4178</v>
      </c>
      <c r="D259" s="621">
        <v>24.18</v>
      </c>
      <c r="E259" s="363">
        <v>13.96</v>
      </c>
      <c r="F259" s="363">
        <f t="shared" si="152"/>
        <v>-42699.159999999996</v>
      </c>
      <c r="G259" s="363">
        <f t="shared" si="153"/>
        <v>101024.04</v>
      </c>
      <c r="H259" s="364">
        <f t="shared" si="154"/>
        <v>-0.42266335814722905</v>
      </c>
      <c r="I259" s="363"/>
    </row>
    <row r="260" spans="2:9" x14ac:dyDescent="0.25">
      <c r="B260" s="620">
        <v>42355</v>
      </c>
      <c r="C260" s="362">
        <v>4678</v>
      </c>
      <c r="D260" s="621">
        <v>22.98</v>
      </c>
      <c r="E260" s="363">
        <v>12.78</v>
      </c>
      <c r="F260" s="363">
        <f t="shared" si="152"/>
        <v>-47715.600000000006</v>
      </c>
      <c r="G260" s="363">
        <f t="shared" si="153"/>
        <v>107500.44</v>
      </c>
      <c r="H260" s="364">
        <f t="shared" si="154"/>
        <v>-0.44386422976501311</v>
      </c>
      <c r="I260" s="363"/>
    </row>
    <row r="261" spans="2:9" x14ac:dyDescent="0.25">
      <c r="B261" s="620">
        <v>42356</v>
      </c>
      <c r="C261" s="362">
        <v>5178</v>
      </c>
      <c r="D261" s="621">
        <v>21.99</v>
      </c>
      <c r="E261" s="363">
        <v>12.95</v>
      </c>
      <c r="F261" s="363">
        <f t="shared" si="152"/>
        <v>-46809.119999999995</v>
      </c>
      <c r="G261" s="363">
        <f t="shared" si="153"/>
        <v>113864.21999999999</v>
      </c>
      <c r="H261" s="364">
        <f t="shared" si="154"/>
        <v>-0.41109595270577537</v>
      </c>
      <c r="I261" s="363"/>
    </row>
    <row r="262" spans="2:9" x14ac:dyDescent="0.25">
      <c r="B262" s="620">
        <v>42356</v>
      </c>
      <c r="C262" s="362">
        <v>6178</v>
      </c>
      <c r="D262" s="621">
        <v>20.48</v>
      </c>
      <c r="E262" s="363">
        <v>12.76</v>
      </c>
      <c r="F262" s="363">
        <f t="shared" si="152"/>
        <v>-47694.16</v>
      </c>
      <c r="G262" s="363">
        <f t="shared" si="153"/>
        <v>126525.44</v>
      </c>
      <c r="H262" s="364">
        <f t="shared" si="154"/>
        <v>-0.376953125</v>
      </c>
      <c r="I262" s="363"/>
    </row>
    <row r="263" spans="2:9" x14ac:dyDescent="0.25">
      <c r="B263" s="620">
        <v>42356</v>
      </c>
      <c r="C263" s="362">
        <v>6400</v>
      </c>
      <c r="D263" s="621">
        <v>20.2</v>
      </c>
      <c r="E263" s="363">
        <v>12.68</v>
      </c>
      <c r="F263" s="363">
        <f t="shared" si="152"/>
        <v>-48128</v>
      </c>
      <c r="G263" s="363">
        <f t="shared" si="153"/>
        <v>129280</v>
      </c>
      <c r="H263" s="364">
        <f t="shared" si="154"/>
        <v>-0.37227722772277227</v>
      </c>
      <c r="I263" s="363"/>
    </row>
    <row r="264" spans="2:9" x14ac:dyDescent="0.25">
      <c r="B264" s="620">
        <v>42359</v>
      </c>
      <c r="C264" s="362">
        <v>5178</v>
      </c>
      <c r="D264" s="621">
        <v>21.96</v>
      </c>
      <c r="E264" s="363">
        <v>12.66</v>
      </c>
      <c r="F264" s="363">
        <f t="shared" si="152"/>
        <v>-48155.4</v>
      </c>
      <c r="G264" s="363">
        <f t="shared" si="153"/>
        <v>113708.88</v>
      </c>
      <c r="H264" s="364">
        <f t="shared" si="154"/>
        <v>-0.42349726775956287</v>
      </c>
      <c r="I264" s="363"/>
    </row>
    <row r="265" spans="2:9" x14ac:dyDescent="0.25">
      <c r="B265" s="620">
        <v>42361</v>
      </c>
      <c r="C265" s="362">
        <v>4178</v>
      </c>
      <c r="D265" s="621">
        <v>24.07</v>
      </c>
      <c r="E265" s="363">
        <v>13.96</v>
      </c>
      <c r="F265" s="363">
        <f t="shared" si="152"/>
        <v>-42239.579999999994</v>
      </c>
      <c r="G265" s="363">
        <f t="shared" si="153"/>
        <v>100564.46</v>
      </c>
      <c r="H265" s="364">
        <f t="shared" si="154"/>
        <v>-0.42002492729538843</v>
      </c>
      <c r="I265" s="363"/>
    </row>
    <row r="266" spans="2:9" x14ac:dyDescent="0.25">
      <c r="B266" s="620">
        <v>42361</v>
      </c>
      <c r="C266" s="362">
        <v>4178</v>
      </c>
      <c r="D266" s="621">
        <v>24.03</v>
      </c>
      <c r="E266" s="363">
        <v>13.96</v>
      </c>
      <c r="F266" s="363">
        <f t="shared" si="152"/>
        <v>-42072.46</v>
      </c>
      <c r="G266" s="363">
        <f t="shared" si="153"/>
        <v>100397.34000000001</v>
      </c>
      <c r="H266" s="364">
        <f t="shared" si="154"/>
        <v>-0.41905950894714938</v>
      </c>
      <c r="I266" s="363"/>
    </row>
    <row r="267" spans="2:9" x14ac:dyDescent="0.25">
      <c r="B267" s="620">
        <v>42366</v>
      </c>
      <c r="C267" s="383">
        <v>6678</v>
      </c>
      <c r="D267" s="622">
        <v>19.91</v>
      </c>
      <c r="E267" s="363">
        <v>13.09</v>
      </c>
      <c r="F267" s="363">
        <f t="shared" si="152"/>
        <v>-45543.96</v>
      </c>
      <c r="G267" s="363">
        <f t="shared" si="153"/>
        <v>132958.98000000001</v>
      </c>
      <c r="H267" s="364">
        <f t="shared" si="154"/>
        <v>-0.34254143646408841</v>
      </c>
      <c r="I267" s="363"/>
    </row>
    <row r="268" spans="2:9" x14ac:dyDescent="0.25">
      <c r="B268" s="620">
        <v>42367</v>
      </c>
      <c r="C268" s="383">
        <v>8678</v>
      </c>
      <c r="D268" s="622">
        <v>18.32</v>
      </c>
      <c r="E268" s="363">
        <v>13.03</v>
      </c>
      <c r="F268" s="363">
        <f t="shared" si="152"/>
        <v>-45906.62000000001</v>
      </c>
      <c r="G268" s="363">
        <f t="shared" si="153"/>
        <v>158980.96</v>
      </c>
      <c r="H268" s="364">
        <f t="shared" si="154"/>
        <v>-0.28875545851528389</v>
      </c>
      <c r="I268" s="363"/>
    </row>
    <row r="269" spans="2:9" x14ac:dyDescent="0.25">
      <c r="B269" s="620">
        <v>42368</v>
      </c>
      <c r="C269" s="362">
        <v>9678</v>
      </c>
      <c r="D269" s="621">
        <v>17.73</v>
      </c>
      <c r="E269" s="363">
        <v>12.38</v>
      </c>
      <c r="F269" s="363">
        <f t="shared" si="152"/>
        <v>-51777.299999999996</v>
      </c>
      <c r="G269" s="363">
        <f t="shared" si="153"/>
        <v>171590.94</v>
      </c>
      <c r="H269" s="365">
        <f t="shared" si="154"/>
        <v>-0.30174844895657077</v>
      </c>
      <c r="I269" s="363"/>
    </row>
    <row r="270" spans="2:9" x14ac:dyDescent="0.25">
      <c r="B270" s="620">
        <v>42369</v>
      </c>
      <c r="C270" s="362">
        <v>8678</v>
      </c>
      <c r="D270" s="621">
        <v>18.312999999999999</v>
      </c>
      <c r="E270" s="363">
        <v>12.59</v>
      </c>
      <c r="F270" s="363">
        <f t="shared" si="152"/>
        <v>-49664.193999999989</v>
      </c>
      <c r="G270" s="363">
        <f t="shared" si="153"/>
        <v>158920.21399999998</v>
      </c>
      <c r="H270" s="365">
        <f t="shared" si="154"/>
        <v>-0.3125102386282968</v>
      </c>
      <c r="I270" s="363"/>
    </row>
    <row r="271" spans="2:9" x14ac:dyDescent="0.25">
      <c r="B271" s="620">
        <v>42374</v>
      </c>
      <c r="C271" s="362">
        <v>7678</v>
      </c>
      <c r="D271" s="621">
        <v>19.010000000000002</v>
      </c>
      <c r="E271" s="363">
        <v>12.76</v>
      </c>
      <c r="F271" s="363">
        <f t="shared" si="152"/>
        <v>-47987.500000000015</v>
      </c>
      <c r="G271" s="363">
        <f t="shared" si="153"/>
        <v>145958.78</v>
      </c>
      <c r="H271" s="365">
        <f t="shared" si="154"/>
        <v>-0.32877432930036832</v>
      </c>
      <c r="I271" s="363"/>
    </row>
    <row r="272" spans="2:9" x14ac:dyDescent="0.25">
      <c r="B272" s="620">
        <v>42375</v>
      </c>
      <c r="C272" s="362">
        <v>8678</v>
      </c>
      <c r="D272" s="621">
        <v>18.257000000000001</v>
      </c>
      <c r="E272" s="363">
        <v>12.76</v>
      </c>
      <c r="F272" s="363">
        <f t="shared" si="152"/>
        <v>-47702.966000000015</v>
      </c>
      <c r="G272" s="363">
        <f t="shared" si="153"/>
        <v>158434.24600000001</v>
      </c>
      <c r="H272" s="365">
        <f t="shared" si="154"/>
        <v>-0.30108999287944355</v>
      </c>
      <c r="I272" s="363"/>
    </row>
    <row r="273" spans="2:14" x14ac:dyDescent="0.25">
      <c r="B273" s="620">
        <v>42375</v>
      </c>
      <c r="C273" s="362">
        <v>9678</v>
      </c>
      <c r="D273" s="621">
        <v>17.579999999999998</v>
      </c>
      <c r="E273" s="363">
        <v>11.28</v>
      </c>
      <c r="F273" s="363">
        <f t="shared" si="152"/>
        <v>-60971.399999999987</v>
      </c>
      <c r="G273" s="363">
        <f t="shared" si="153"/>
        <v>170139.24</v>
      </c>
      <c r="H273" s="365">
        <f t="shared" si="154"/>
        <v>-0.35836177474402725</v>
      </c>
      <c r="I273" s="363"/>
    </row>
    <row r="274" spans="2:14" x14ac:dyDescent="0.25">
      <c r="B274" s="620">
        <v>42398</v>
      </c>
      <c r="C274" s="362">
        <v>9278</v>
      </c>
      <c r="D274" s="621">
        <v>17.93</v>
      </c>
      <c r="E274" s="363">
        <v>9.56</v>
      </c>
      <c r="F274" s="363">
        <f t="shared" si="152"/>
        <v>-77656.859999999986</v>
      </c>
      <c r="G274" s="363">
        <f t="shared" si="153"/>
        <v>166354.54</v>
      </c>
      <c r="H274" s="365">
        <f t="shared" si="154"/>
        <v>-0.46681539319576126</v>
      </c>
      <c r="I274" s="363"/>
    </row>
    <row r="275" spans="2:14" x14ac:dyDescent="0.25">
      <c r="B275" s="620">
        <v>42402</v>
      </c>
      <c r="C275" s="362">
        <v>9678</v>
      </c>
      <c r="D275" s="621">
        <v>17.559999999999999</v>
      </c>
      <c r="E275" s="363">
        <v>8.74</v>
      </c>
      <c r="F275" s="363">
        <f t="shared" si="152"/>
        <v>-85359.959999999992</v>
      </c>
      <c r="G275" s="363">
        <f t="shared" si="153"/>
        <v>169945.68</v>
      </c>
      <c r="H275" s="365">
        <f t="shared" si="154"/>
        <v>-0.50227790432801822</v>
      </c>
      <c r="I275" s="363"/>
    </row>
    <row r="276" spans="2:14" x14ac:dyDescent="0.25">
      <c r="B276" s="620">
        <v>42411</v>
      </c>
      <c r="C276" s="362">
        <v>9678</v>
      </c>
      <c r="D276" s="621">
        <v>17.553999999999998</v>
      </c>
      <c r="E276" s="363">
        <v>7.13</v>
      </c>
      <c r="F276" s="363">
        <f t="shared" si="152"/>
        <v>-100883.47199999999</v>
      </c>
      <c r="G276" s="363">
        <f t="shared" si="153"/>
        <v>169887.61199999999</v>
      </c>
      <c r="H276" s="364">
        <f t="shared" si="154"/>
        <v>-0.59382476928335426</v>
      </c>
      <c r="I276" s="363"/>
    </row>
    <row r="277" spans="2:14" x14ac:dyDescent="0.25">
      <c r="B277" s="620">
        <v>42412</v>
      </c>
      <c r="C277" s="362">
        <v>9678</v>
      </c>
      <c r="D277" s="621">
        <v>17.55</v>
      </c>
      <c r="E277" s="363">
        <v>7.46</v>
      </c>
      <c r="F277" s="363">
        <f t="shared" si="152"/>
        <v>-97651.02</v>
      </c>
      <c r="G277" s="363">
        <f t="shared" si="153"/>
        <v>169848.9</v>
      </c>
      <c r="H277" s="364">
        <f t="shared" si="154"/>
        <v>-0.57492877492877492</v>
      </c>
      <c r="I277" s="363"/>
    </row>
    <row r="278" spans="2:14" x14ac:dyDescent="0.25">
      <c r="B278" s="620">
        <v>42416</v>
      </c>
      <c r="C278" s="362">
        <v>9178</v>
      </c>
      <c r="D278" s="621">
        <v>18.084</v>
      </c>
      <c r="E278" s="363">
        <v>7.49</v>
      </c>
      <c r="F278" s="363">
        <f t="shared" si="152"/>
        <v>-97231.731999999989</v>
      </c>
      <c r="G278" s="363">
        <f t="shared" si="153"/>
        <v>165974.95199999999</v>
      </c>
      <c r="H278" s="364">
        <f t="shared" si="154"/>
        <v>-0.58582172085821715</v>
      </c>
      <c r="I278" s="363"/>
    </row>
    <row r="279" spans="2:14" x14ac:dyDescent="0.25">
      <c r="B279" s="620">
        <v>42416</v>
      </c>
      <c r="C279" s="362">
        <v>9678</v>
      </c>
      <c r="D279" s="621">
        <v>17.536999999999999</v>
      </c>
      <c r="E279" s="363">
        <v>7.49</v>
      </c>
      <c r="F279" s="363">
        <f t="shared" si="152"/>
        <v>-97234.865999999995</v>
      </c>
      <c r="G279" s="363">
        <f t="shared" si="153"/>
        <v>169723.08599999998</v>
      </c>
      <c r="H279" s="364">
        <f t="shared" si="154"/>
        <v>-0.57290300507498426</v>
      </c>
      <c r="I279" s="363"/>
    </row>
    <row r="280" spans="2:14" x14ac:dyDescent="0.25">
      <c r="B280" s="620">
        <v>42418</v>
      </c>
      <c r="C280" s="362">
        <v>13478</v>
      </c>
      <c r="D280" s="621">
        <v>14.673999999999999</v>
      </c>
      <c r="E280" s="363">
        <v>6.93</v>
      </c>
      <c r="F280" s="363">
        <f t="shared" si="152"/>
        <v>-104373.632</v>
      </c>
      <c r="G280" s="363">
        <f t="shared" si="153"/>
        <v>197776.17199999999</v>
      </c>
      <c r="H280" s="364">
        <f t="shared" si="154"/>
        <v>-0.52773613193403301</v>
      </c>
      <c r="I280" s="363"/>
    </row>
    <row r="281" spans="2:14" x14ac:dyDescent="0.25">
      <c r="B281" s="620">
        <v>42422</v>
      </c>
      <c r="C281" s="362">
        <v>10978</v>
      </c>
      <c r="D281" s="621">
        <v>16.314</v>
      </c>
      <c r="E281" s="363">
        <v>7.49</v>
      </c>
      <c r="F281" s="363">
        <f t="shared" si="152"/>
        <v>-96869.872000000003</v>
      </c>
      <c r="G281" s="363">
        <f>IF(C281=0, 0,D281*C281)</f>
        <v>179095.092</v>
      </c>
      <c r="H281" s="364">
        <f>IF(C281=0, D281, (E281-D281)/D281)</f>
        <v>-0.54088512933676591</v>
      </c>
      <c r="I281" s="363"/>
    </row>
    <row r="282" spans="2:14" x14ac:dyDescent="0.25">
      <c r="B282" s="620">
        <v>42422</v>
      </c>
      <c r="C282" s="362">
        <v>9978</v>
      </c>
      <c r="D282" s="621">
        <v>17.199000000000002</v>
      </c>
      <c r="E282" s="363">
        <v>7.49</v>
      </c>
      <c r="F282" s="363">
        <f t="shared" si="152"/>
        <v>-96876.402000000016</v>
      </c>
      <c r="G282" s="363">
        <f>IF(C282=0, 0,D282*C282)</f>
        <v>171611.622</v>
      </c>
      <c r="H282" s="364">
        <f>IF(C282=0, D282, (E282-D282)/D282)</f>
        <v>-0.56450956450956458</v>
      </c>
      <c r="I282" s="363"/>
    </row>
    <row r="283" spans="2:14" x14ac:dyDescent="0.25">
      <c r="B283" s="620">
        <v>42426</v>
      </c>
      <c r="C283" s="362">
        <v>9678</v>
      </c>
      <c r="D283" s="621">
        <v>17.489000000000001</v>
      </c>
      <c r="E283" s="363">
        <v>7.49</v>
      </c>
      <c r="F283" s="363">
        <f t="shared" ref="F283:F291" si="155">C283*(E283-D283)</f>
        <v>-96770.322</v>
      </c>
      <c r="G283" s="363">
        <f>IF(C283=0, 0,D283*C283)</f>
        <v>169258.54200000002</v>
      </c>
      <c r="H283" s="364">
        <f>IF(C283=0, D283, (E283-D283)/D283)</f>
        <v>-0.57173080221853734</v>
      </c>
      <c r="I283" s="363"/>
    </row>
    <row r="284" spans="2:14" x14ac:dyDescent="0.25">
      <c r="B284" s="620">
        <v>42426</v>
      </c>
      <c r="C284" s="362">
        <v>9178</v>
      </c>
      <c r="D284" s="621">
        <v>18.02</v>
      </c>
      <c r="E284" s="363">
        <v>7.76</v>
      </c>
      <c r="F284" s="363">
        <f t="shared" si="155"/>
        <v>-94166.28</v>
      </c>
      <c r="G284" s="363">
        <f t="shared" ref="G284:G291" si="156">IF(C284=0, 0,D284*C284)</f>
        <v>165387.56</v>
      </c>
      <c r="H284" s="364">
        <f t="shared" ref="H284:H291" si="157">IF(C284=0, D284, (E284-D284)/D284)</f>
        <v>-0.5693673695893452</v>
      </c>
      <c r="I284" s="363"/>
      <c r="N284" s="70"/>
    </row>
    <row r="285" spans="2:14" x14ac:dyDescent="0.25">
      <c r="B285" s="620">
        <v>42426</v>
      </c>
      <c r="C285" s="362">
        <v>8178</v>
      </c>
      <c r="D285" s="621">
        <v>19.245999999999999</v>
      </c>
      <c r="E285" s="363">
        <v>8</v>
      </c>
      <c r="F285" s="363">
        <f t="shared" si="155"/>
        <v>-91969.787999999986</v>
      </c>
      <c r="G285" s="363">
        <f t="shared" si="156"/>
        <v>157393.788</v>
      </c>
      <c r="H285" s="364">
        <f t="shared" si="157"/>
        <v>-0.58432921126467829</v>
      </c>
      <c r="I285" s="363"/>
    </row>
    <row r="286" spans="2:14" x14ac:dyDescent="0.25">
      <c r="B286" s="620">
        <v>42426</v>
      </c>
      <c r="C286" s="362">
        <v>6678</v>
      </c>
      <c r="D286" s="621">
        <v>21.75</v>
      </c>
      <c r="E286" s="363">
        <v>8.1</v>
      </c>
      <c r="F286" s="363">
        <f t="shared" si="155"/>
        <v>-91154.7</v>
      </c>
      <c r="G286" s="363">
        <f t="shared" si="156"/>
        <v>145246.5</v>
      </c>
      <c r="H286" s="364">
        <f t="shared" si="157"/>
        <v>-0.62758620689655176</v>
      </c>
      <c r="I286" s="363"/>
    </row>
    <row r="287" spans="2:14" x14ac:dyDescent="0.25">
      <c r="B287" s="620">
        <v>42426</v>
      </c>
      <c r="C287" s="362">
        <v>8678</v>
      </c>
      <c r="D287" s="621">
        <v>18.568999999999999</v>
      </c>
      <c r="E287" s="363">
        <v>7.94</v>
      </c>
      <c r="F287" s="363">
        <f t="shared" si="155"/>
        <v>-92238.461999999985</v>
      </c>
      <c r="G287" s="363">
        <f t="shared" si="156"/>
        <v>161141.78199999998</v>
      </c>
      <c r="H287" s="364">
        <f t="shared" si="157"/>
        <v>-0.57240562227368186</v>
      </c>
      <c r="I287" s="363"/>
    </row>
    <row r="288" spans="2:14" x14ac:dyDescent="0.25">
      <c r="B288" s="620">
        <v>42429</v>
      </c>
      <c r="C288" s="362">
        <v>7678</v>
      </c>
      <c r="D288" s="621">
        <v>19.876000000000001</v>
      </c>
      <c r="E288" s="363">
        <v>8.2100000000000009</v>
      </c>
      <c r="F288" s="363">
        <f t="shared" si="155"/>
        <v>-89571.54800000001</v>
      </c>
      <c r="G288" s="363">
        <f t="shared" si="156"/>
        <v>152607.92800000001</v>
      </c>
      <c r="H288" s="364">
        <f t="shared" si="157"/>
        <v>-0.58693902193600322</v>
      </c>
      <c r="I288" s="363"/>
    </row>
    <row r="289" spans="2:9" x14ac:dyDescent="0.25">
      <c r="B289" s="620">
        <v>42429</v>
      </c>
      <c r="C289" s="362">
        <v>9678</v>
      </c>
      <c r="D289" s="621">
        <v>17.463000000000001</v>
      </c>
      <c r="E289" s="363">
        <v>8.2100000000000009</v>
      </c>
      <c r="F289" s="363">
        <f t="shared" si="155"/>
        <v>-89550.534</v>
      </c>
      <c r="G289" s="363">
        <f t="shared" si="156"/>
        <v>169006.91400000002</v>
      </c>
      <c r="H289" s="364">
        <f t="shared" si="157"/>
        <v>-0.5298631392086125</v>
      </c>
      <c r="I289" s="363"/>
    </row>
    <row r="290" spans="2:9" x14ac:dyDescent="0.25">
      <c r="B290" s="620">
        <v>42429</v>
      </c>
      <c r="C290" s="362">
        <v>9178</v>
      </c>
      <c r="D290" s="621">
        <v>17.981000000000002</v>
      </c>
      <c r="E290" s="363">
        <v>8.2100000000000009</v>
      </c>
      <c r="F290" s="363">
        <f t="shared" si="155"/>
        <v>-89678.238000000012</v>
      </c>
      <c r="G290" s="363">
        <f t="shared" si="156"/>
        <v>165029.61800000002</v>
      </c>
      <c r="H290" s="364">
        <f t="shared" si="157"/>
        <v>-0.5434069295367332</v>
      </c>
      <c r="I290" s="363"/>
    </row>
    <row r="291" spans="2:9" x14ac:dyDescent="0.25">
      <c r="B291" s="620">
        <v>42429</v>
      </c>
      <c r="C291" s="362">
        <v>9678</v>
      </c>
      <c r="D291" s="621">
        <v>17.459</v>
      </c>
      <c r="E291" s="363">
        <v>8.2100000000000009</v>
      </c>
      <c r="F291" s="363">
        <f t="shared" si="155"/>
        <v>-89511.821999999986</v>
      </c>
      <c r="G291" s="363">
        <f t="shared" si="156"/>
        <v>168968.20199999999</v>
      </c>
      <c r="H291" s="364">
        <f t="shared" si="157"/>
        <v>-0.5297554270004009</v>
      </c>
      <c r="I291" s="363"/>
    </row>
    <row r="292" spans="2:9" x14ac:dyDescent="0.25">
      <c r="B292" s="620">
        <v>42429</v>
      </c>
      <c r="C292" s="362">
        <v>9178</v>
      </c>
      <c r="D292" s="621">
        <v>17.975999999999999</v>
      </c>
      <c r="E292" s="363">
        <v>8.2100000000000009</v>
      </c>
      <c r="F292" s="363">
        <f t="shared" ref="F292:F303" si="158">C292*(E292-D292)</f>
        <v>-89632.347999999984</v>
      </c>
      <c r="G292" s="363">
        <f t="shared" ref="G292:G303" si="159">IF(C292=0, 0,D292*C292)</f>
        <v>164983.728</v>
      </c>
      <c r="H292" s="364">
        <f t="shared" ref="H292:H343" si="160">IF(C292=0, D292, (E292-D292)/D292)</f>
        <v>-0.54327992879394738</v>
      </c>
      <c r="I292" s="363" t="s">
        <v>186</v>
      </c>
    </row>
    <row r="293" spans="2:9" x14ac:dyDescent="0.25">
      <c r="B293" s="620">
        <v>42430</v>
      </c>
      <c r="C293" s="383">
        <v>10178</v>
      </c>
      <c r="D293" s="622">
        <v>16.974</v>
      </c>
      <c r="E293" s="363">
        <v>7.8</v>
      </c>
      <c r="F293" s="363">
        <f t="shared" si="158"/>
        <v>-93372.971999999994</v>
      </c>
      <c r="G293" s="363">
        <f t="shared" si="159"/>
        <v>172761.372</v>
      </c>
      <c r="H293" s="364">
        <f t="shared" si="160"/>
        <v>-0.54047366560622123</v>
      </c>
      <c r="I293" s="363"/>
    </row>
    <row r="294" spans="2:9" x14ac:dyDescent="0.25">
      <c r="B294" s="620">
        <v>42430</v>
      </c>
      <c r="C294" s="383">
        <v>9678</v>
      </c>
      <c r="D294" s="622">
        <v>17.440000000000001</v>
      </c>
      <c r="E294" s="363">
        <v>7.96</v>
      </c>
      <c r="F294" s="363">
        <f t="shared" si="158"/>
        <v>-91747.44</v>
      </c>
      <c r="G294" s="363">
        <f t="shared" si="159"/>
        <v>168784.32</v>
      </c>
      <c r="H294" s="364">
        <f t="shared" si="160"/>
        <v>-0.54357798165137616</v>
      </c>
      <c r="I294" s="363"/>
    </row>
    <row r="295" spans="2:9" x14ac:dyDescent="0.25">
      <c r="B295" s="620">
        <v>42431</v>
      </c>
      <c r="C295" s="362">
        <v>8678</v>
      </c>
      <c r="D295" s="621">
        <v>18.405999999999999</v>
      </c>
      <c r="E295" s="363">
        <v>9.1</v>
      </c>
      <c r="F295" s="363">
        <f t="shared" si="158"/>
        <v>-80757.467999999993</v>
      </c>
      <c r="G295" s="363">
        <f t="shared" si="159"/>
        <v>159727.26799999998</v>
      </c>
      <c r="H295" s="365">
        <f t="shared" si="160"/>
        <v>-0.50559600130392257</v>
      </c>
      <c r="I295" s="363"/>
    </row>
    <row r="296" spans="2:9" x14ac:dyDescent="0.25">
      <c r="B296" s="620">
        <v>42432</v>
      </c>
      <c r="C296" s="362">
        <v>9278</v>
      </c>
      <c r="D296" s="621">
        <v>17.771999999999998</v>
      </c>
      <c r="E296" s="363">
        <v>9.9700000000000006</v>
      </c>
      <c r="F296" s="363">
        <f t="shared" si="158"/>
        <v>-72386.955999999976</v>
      </c>
      <c r="G296" s="363">
        <f t="shared" si="159"/>
        <v>164888.61599999998</v>
      </c>
      <c r="H296" s="365">
        <f t="shared" si="160"/>
        <v>-0.43900517668242173</v>
      </c>
      <c r="I296" s="363"/>
    </row>
    <row r="297" spans="2:9" x14ac:dyDescent="0.25">
      <c r="B297" s="620">
        <v>42433</v>
      </c>
      <c r="C297" s="362">
        <v>9278</v>
      </c>
      <c r="D297" s="621">
        <v>17.771999999999998</v>
      </c>
      <c r="E297" s="363">
        <v>11</v>
      </c>
      <c r="F297" s="363">
        <f t="shared" si="158"/>
        <v>-62830.615999999987</v>
      </c>
      <c r="G297" s="363">
        <f t="shared" si="159"/>
        <v>164888.61599999998</v>
      </c>
      <c r="H297" s="365">
        <f t="shared" si="160"/>
        <v>-0.38104884087328378</v>
      </c>
      <c r="I297" s="363"/>
    </row>
    <row r="298" spans="2:9" x14ac:dyDescent="0.25">
      <c r="B298" s="620">
        <v>42439</v>
      </c>
      <c r="C298" s="362">
        <v>9278</v>
      </c>
      <c r="D298" s="621">
        <v>17.718</v>
      </c>
      <c r="E298" s="363">
        <v>10.59</v>
      </c>
      <c r="F298" s="363">
        <f t="shared" si="158"/>
        <v>-66133.584000000003</v>
      </c>
      <c r="G298" s="363">
        <f t="shared" si="159"/>
        <v>164387.60399999999</v>
      </c>
      <c r="H298" s="365">
        <f t="shared" si="160"/>
        <v>-0.40230274297324753</v>
      </c>
      <c r="I298" s="363" t="s">
        <v>185</v>
      </c>
    </row>
    <row r="299" spans="2:9" x14ac:dyDescent="0.25">
      <c r="B299" s="620">
        <v>42440</v>
      </c>
      <c r="C299" s="362">
        <v>9278</v>
      </c>
      <c r="D299" s="621">
        <v>17.712</v>
      </c>
      <c r="E299" s="363">
        <v>11.12</v>
      </c>
      <c r="F299" s="363">
        <f t="shared" si="158"/>
        <v>-61160.576000000008</v>
      </c>
      <c r="G299" s="363">
        <f t="shared" si="159"/>
        <v>164331.93599999999</v>
      </c>
      <c r="H299" s="365">
        <f t="shared" si="160"/>
        <v>-0.37217705510388438</v>
      </c>
      <c r="I299" s="363"/>
    </row>
    <row r="300" spans="2:9" x14ac:dyDescent="0.25">
      <c r="B300" s="620">
        <v>42446</v>
      </c>
      <c r="C300" s="362">
        <v>9278</v>
      </c>
      <c r="D300" s="621">
        <v>17.704999999999998</v>
      </c>
      <c r="E300" s="363">
        <v>11.45</v>
      </c>
      <c r="F300" s="363">
        <f t="shared" si="158"/>
        <v>-58033.889999999992</v>
      </c>
      <c r="G300" s="363">
        <f t="shared" si="159"/>
        <v>164266.99</v>
      </c>
      <c r="H300" s="365">
        <f t="shared" si="160"/>
        <v>-0.353290031064671</v>
      </c>
      <c r="I300" s="363"/>
    </row>
    <row r="301" spans="2:9" x14ac:dyDescent="0.25">
      <c r="B301" s="620">
        <v>42447</v>
      </c>
      <c r="C301" s="362">
        <v>7928</v>
      </c>
      <c r="D301" s="621">
        <v>18.734999999999999</v>
      </c>
      <c r="E301" s="363">
        <v>11.63</v>
      </c>
      <c r="F301" s="363">
        <f t="shared" si="158"/>
        <v>-56328.439999999988</v>
      </c>
      <c r="G301" s="363">
        <f t="shared" si="159"/>
        <v>148531.07999999999</v>
      </c>
      <c r="H301" s="365">
        <f t="shared" si="160"/>
        <v>-0.37923672271150249</v>
      </c>
      <c r="I301" s="363"/>
    </row>
    <row r="302" spans="2:9" x14ac:dyDescent="0.25">
      <c r="B302" s="620">
        <v>42450</v>
      </c>
      <c r="C302" s="362">
        <v>9278</v>
      </c>
      <c r="D302" s="621">
        <v>17.670000000000002</v>
      </c>
      <c r="E302" s="363">
        <v>11.43</v>
      </c>
      <c r="F302" s="363">
        <f t="shared" si="158"/>
        <v>-57894.720000000016</v>
      </c>
      <c r="G302" s="363">
        <f t="shared" si="159"/>
        <v>163942.26</v>
      </c>
      <c r="H302" s="364">
        <f t="shared" si="160"/>
        <v>-0.35314091680814946</v>
      </c>
      <c r="I302" s="363"/>
    </row>
    <row r="303" spans="2:9" x14ac:dyDescent="0.25">
      <c r="B303" s="620">
        <v>42451</v>
      </c>
      <c r="C303" s="362">
        <v>9628</v>
      </c>
      <c r="D303" s="621">
        <v>17.428000000000001</v>
      </c>
      <c r="E303" s="363">
        <v>11.31</v>
      </c>
      <c r="F303" s="363">
        <f t="shared" si="158"/>
        <v>-58904.104000000007</v>
      </c>
      <c r="G303" s="363">
        <f t="shared" si="159"/>
        <v>167796.78400000001</v>
      </c>
      <c r="H303" s="364">
        <f t="shared" si="160"/>
        <v>-0.35104429653431263</v>
      </c>
      <c r="I303" s="363"/>
    </row>
    <row r="304" spans="2:9" x14ac:dyDescent="0.25">
      <c r="B304" s="620">
        <v>42453</v>
      </c>
      <c r="C304" s="362">
        <v>13278</v>
      </c>
      <c r="D304" s="621">
        <v>15.5565</v>
      </c>
      <c r="E304" s="363">
        <v>10.29</v>
      </c>
      <c r="F304" s="363">
        <f t="shared" ref="F304:F343" si="161">C304*(E304-D304)</f>
        <v>-69928.587000000014</v>
      </c>
      <c r="G304" s="363">
        <f t="shared" ref="G304:G343" si="162">IF(C304=0, 0,D304*C304)</f>
        <v>206559.20699999999</v>
      </c>
      <c r="H304" s="364">
        <f t="shared" si="160"/>
        <v>-0.33854016006171056</v>
      </c>
      <c r="I304" s="363"/>
    </row>
    <row r="305" spans="2:14" x14ac:dyDescent="0.25">
      <c r="B305" s="620">
        <v>42459</v>
      </c>
      <c r="C305" s="362">
        <v>11278</v>
      </c>
      <c r="D305" s="621">
        <v>16.408899999999999</v>
      </c>
      <c r="E305" s="363">
        <v>10.53</v>
      </c>
      <c r="F305" s="363">
        <f t="shared" si="161"/>
        <v>-66302.234199999992</v>
      </c>
      <c r="G305" s="363">
        <f t="shared" si="162"/>
        <v>185059.5742</v>
      </c>
      <c r="H305" s="364">
        <f t="shared" si="160"/>
        <v>-0.35827508242478168</v>
      </c>
      <c r="I305" s="363"/>
    </row>
    <row r="306" spans="2:14" x14ac:dyDescent="0.25">
      <c r="B306" s="620">
        <v>42460</v>
      </c>
      <c r="C306" s="362">
        <v>9678</v>
      </c>
      <c r="D306" s="621">
        <v>17.311699999999998</v>
      </c>
      <c r="E306" s="363">
        <v>11.14</v>
      </c>
      <c r="F306" s="363">
        <f t="shared" si="161"/>
        <v>-59729.712599999977</v>
      </c>
      <c r="G306" s="363">
        <f t="shared" si="162"/>
        <v>167542.63259999998</v>
      </c>
      <c r="H306" s="364">
        <f t="shared" si="160"/>
        <v>-0.35650456049954643</v>
      </c>
      <c r="I306" s="363"/>
    </row>
    <row r="307" spans="2:14" x14ac:dyDescent="0.25">
      <c r="B307" s="620">
        <v>42461</v>
      </c>
      <c r="C307" s="362">
        <v>11678</v>
      </c>
      <c r="D307" s="621">
        <v>16.116</v>
      </c>
      <c r="E307" s="363">
        <v>10.53</v>
      </c>
      <c r="F307" s="363">
        <f t="shared" si="161"/>
        <v>-65233.308000000005</v>
      </c>
      <c r="G307" s="363">
        <f t="shared" si="162"/>
        <v>188202.64799999999</v>
      </c>
      <c r="H307" s="364">
        <f t="shared" si="160"/>
        <v>-0.34661206254653765</v>
      </c>
      <c r="I307" s="363"/>
    </row>
    <row r="308" spans="2:14" x14ac:dyDescent="0.25">
      <c r="B308" s="620">
        <v>42461</v>
      </c>
      <c r="C308" s="362">
        <v>9678</v>
      </c>
      <c r="D308" s="621">
        <v>17.266200000000001</v>
      </c>
      <c r="E308" s="363">
        <v>10.56</v>
      </c>
      <c r="F308" s="363">
        <f t="shared" si="161"/>
        <v>-64902.603600000009</v>
      </c>
      <c r="G308" s="363">
        <f t="shared" si="162"/>
        <v>167102.28360000002</v>
      </c>
      <c r="H308" s="364">
        <f t="shared" si="160"/>
        <v>-0.388400458699656</v>
      </c>
      <c r="I308" s="363"/>
    </row>
    <row r="309" spans="2:14" x14ac:dyDescent="0.25">
      <c r="B309" s="620">
        <v>42464</v>
      </c>
      <c r="C309" s="362">
        <v>9778</v>
      </c>
      <c r="D309" s="621">
        <v>17.196100000000001</v>
      </c>
      <c r="E309" s="363">
        <v>10.4</v>
      </c>
      <c r="F309" s="363">
        <f t="shared" si="161"/>
        <v>-66452.265800000008</v>
      </c>
      <c r="G309" s="363">
        <f t="shared" si="162"/>
        <v>168143.46580000001</v>
      </c>
      <c r="H309" s="364">
        <f t="shared" si="160"/>
        <v>-0.3952117049796175</v>
      </c>
      <c r="I309" s="363"/>
    </row>
    <row r="310" spans="2:14" x14ac:dyDescent="0.25">
      <c r="B310" s="620">
        <v>42465</v>
      </c>
      <c r="C310" s="362">
        <v>9678</v>
      </c>
      <c r="D310" s="621">
        <v>17.262699999999999</v>
      </c>
      <c r="E310" s="363">
        <v>10.63</v>
      </c>
      <c r="F310" s="363">
        <f t="shared" si="161"/>
        <v>-64191.270599999982</v>
      </c>
      <c r="G310" s="363">
        <f t="shared" si="162"/>
        <v>167068.4106</v>
      </c>
      <c r="H310" s="364">
        <f t="shared" si="160"/>
        <v>-0.38422147172806098</v>
      </c>
      <c r="I310" s="363"/>
    </row>
    <row r="311" spans="2:14" x14ac:dyDescent="0.25">
      <c r="B311" s="620">
        <v>42469</v>
      </c>
      <c r="C311" s="362">
        <v>8678</v>
      </c>
      <c r="D311" s="621">
        <v>17.895700000000001</v>
      </c>
      <c r="E311" s="363">
        <v>11.78</v>
      </c>
      <c r="F311" s="363">
        <f t="shared" si="161"/>
        <v>-53072.044600000016</v>
      </c>
      <c r="G311" s="363">
        <f t="shared" si="162"/>
        <v>155298.88460000002</v>
      </c>
      <c r="H311" s="364">
        <f t="shared" si="160"/>
        <v>-0.34174131215878684</v>
      </c>
      <c r="I311" s="363"/>
      <c r="N311" s="70"/>
    </row>
    <row r="312" spans="2:14" x14ac:dyDescent="0.25">
      <c r="B312" s="620">
        <v>42471</v>
      </c>
      <c r="C312" s="362">
        <v>9678</v>
      </c>
      <c r="D312" s="621">
        <v>17.2514</v>
      </c>
      <c r="E312" s="363">
        <v>11.67</v>
      </c>
      <c r="F312" s="363">
        <f t="shared" si="161"/>
        <v>-54016.789200000007</v>
      </c>
      <c r="G312" s="363">
        <f t="shared" si="162"/>
        <v>166959.04920000001</v>
      </c>
      <c r="H312" s="364">
        <f t="shared" si="160"/>
        <v>-0.32353316252593994</v>
      </c>
      <c r="I312" s="363"/>
    </row>
    <row r="313" spans="2:14" x14ac:dyDescent="0.25">
      <c r="B313" s="620">
        <v>42472</v>
      </c>
      <c r="C313" s="362">
        <v>8288</v>
      </c>
      <c r="D313" s="621">
        <v>17.96</v>
      </c>
      <c r="E313" s="363">
        <v>13.05</v>
      </c>
      <c r="F313" s="363">
        <f t="shared" si="161"/>
        <v>-40694.080000000002</v>
      </c>
      <c r="G313" s="363">
        <f t="shared" si="162"/>
        <v>148852.48000000001</v>
      </c>
      <c r="H313" s="364">
        <f t="shared" si="160"/>
        <v>-0.27338530066815142</v>
      </c>
      <c r="I313" s="363"/>
    </row>
    <row r="314" spans="2:14" x14ac:dyDescent="0.25">
      <c r="B314" s="620">
        <v>42473</v>
      </c>
      <c r="C314" s="362">
        <v>9258</v>
      </c>
      <c r="D314" s="621">
        <v>17.415800000000001</v>
      </c>
      <c r="E314" s="363">
        <v>12.92</v>
      </c>
      <c r="F314" s="363">
        <f t="shared" si="161"/>
        <v>-41622.116400000006</v>
      </c>
      <c r="G314" s="363">
        <f t="shared" si="162"/>
        <v>161235.47640000001</v>
      </c>
      <c r="H314" s="364">
        <f t="shared" si="160"/>
        <v>-0.2581449029042594</v>
      </c>
      <c r="I314" s="363"/>
    </row>
    <row r="315" spans="2:14" x14ac:dyDescent="0.25">
      <c r="B315" s="620">
        <v>42474</v>
      </c>
      <c r="C315" s="362">
        <v>9678</v>
      </c>
      <c r="D315" s="621">
        <v>17.2135</v>
      </c>
      <c r="E315" s="363">
        <v>13.11</v>
      </c>
      <c r="F315" s="363">
        <f t="shared" si="161"/>
        <v>-39713.673000000003</v>
      </c>
      <c r="G315" s="363">
        <f t="shared" si="162"/>
        <v>166592.253</v>
      </c>
      <c r="H315" s="364">
        <f t="shared" si="160"/>
        <v>-0.23838847416272113</v>
      </c>
      <c r="I315" s="363"/>
    </row>
    <row r="316" spans="2:14" x14ac:dyDescent="0.25">
      <c r="B316" s="620">
        <v>42474</v>
      </c>
      <c r="C316" s="362">
        <v>9178</v>
      </c>
      <c r="D316" s="621">
        <v>17.433299999999999</v>
      </c>
      <c r="E316" s="363">
        <v>13.11</v>
      </c>
      <c r="F316" s="363">
        <f t="shared" si="161"/>
        <v>-39679.2474</v>
      </c>
      <c r="G316" s="363">
        <f t="shared" si="162"/>
        <v>160002.82739999998</v>
      </c>
      <c r="H316" s="364">
        <f t="shared" si="160"/>
        <v>-0.24799091394056202</v>
      </c>
      <c r="I316" s="363"/>
    </row>
    <row r="317" spans="2:14" x14ac:dyDescent="0.25">
      <c r="B317" s="620">
        <v>42475</v>
      </c>
      <c r="C317" s="362">
        <v>9678</v>
      </c>
      <c r="D317" s="621">
        <v>17.205100000000002</v>
      </c>
      <c r="E317" s="363">
        <v>13.01</v>
      </c>
      <c r="F317" s="363">
        <f t="shared" si="161"/>
        <v>-40600.177800000019</v>
      </c>
      <c r="G317" s="363">
        <f t="shared" si="162"/>
        <v>166510.9578</v>
      </c>
      <c r="H317" s="364">
        <f t="shared" si="160"/>
        <v>-0.24382886469709572</v>
      </c>
      <c r="I317" s="363"/>
    </row>
    <row r="318" spans="2:14" x14ac:dyDescent="0.25">
      <c r="B318" s="620">
        <v>42478</v>
      </c>
      <c r="C318" s="362">
        <v>9178</v>
      </c>
      <c r="D318" s="621">
        <v>17.412400000000002</v>
      </c>
      <c r="E318" s="363">
        <v>13.36</v>
      </c>
      <c r="F318" s="363">
        <f t="shared" si="161"/>
        <v>-37192.92720000002</v>
      </c>
      <c r="G318" s="363">
        <f t="shared" si="162"/>
        <v>159811.00720000002</v>
      </c>
      <c r="H318" s="364">
        <f t="shared" si="160"/>
        <v>-0.232730697663734</v>
      </c>
      <c r="I318" s="363"/>
    </row>
    <row r="319" spans="2:14" x14ac:dyDescent="0.25">
      <c r="B319" s="620">
        <v>42484</v>
      </c>
      <c r="C319" s="383">
        <v>9178</v>
      </c>
      <c r="D319" s="622">
        <v>17.412400000000002</v>
      </c>
      <c r="E319" s="363">
        <v>14.34</v>
      </c>
      <c r="F319" s="363">
        <f t="shared" si="161"/>
        <v>-28198.487200000018</v>
      </c>
      <c r="G319" s="363">
        <f t="shared" si="162"/>
        <v>159811.00720000002</v>
      </c>
      <c r="H319" s="364">
        <f t="shared" si="160"/>
        <v>-0.17644896740254082</v>
      </c>
      <c r="I319" s="363"/>
    </row>
    <row r="320" spans="2:14" x14ac:dyDescent="0.25">
      <c r="B320" s="620">
        <v>42485</v>
      </c>
      <c r="C320" s="383">
        <v>9678</v>
      </c>
      <c r="D320" s="622">
        <v>17.233499999999999</v>
      </c>
      <c r="E320" s="363">
        <v>13.83</v>
      </c>
      <c r="F320" s="363">
        <f t="shared" si="161"/>
        <v>-32939.072999999997</v>
      </c>
      <c r="G320" s="363">
        <f t="shared" si="162"/>
        <v>166785.81299999999</v>
      </c>
      <c r="H320" s="364">
        <f t="shared" si="160"/>
        <v>-0.19749325441726867</v>
      </c>
      <c r="I320" s="363"/>
    </row>
    <row r="321" spans="2:14" ht="15" customHeight="1" x14ac:dyDescent="0.25">
      <c r="B321" s="620">
        <v>42486</v>
      </c>
      <c r="C321" s="362">
        <v>9178</v>
      </c>
      <c r="D321" s="621">
        <v>17.390599999999999</v>
      </c>
      <c r="E321" s="363">
        <v>14.44</v>
      </c>
      <c r="F321" s="363">
        <f t="shared" si="161"/>
        <v>-27080.606799999998</v>
      </c>
      <c r="G321" s="363">
        <f t="shared" si="162"/>
        <v>159610.92679999999</v>
      </c>
      <c r="H321" s="365">
        <f t="shared" si="160"/>
        <v>-0.16966637148804525</v>
      </c>
      <c r="I321" s="363"/>
    </row>
    <row r="322" spans="2:14" x14ac:dyDescent="0.25">
      <c r="B322" s="620">
        <v>42487</v>
      </c>
      <c r="C322" s="362">
        <v>9178</v>
      </c>
      <c r="D322" s="621">
        <v>17.376300000000001</v>
      </c>
      <c r="E322" s="363">
        <v>14.84</v>
      </c>
      <c r="F322" s="363">
        <f t="shared" si="161"/>
        <v>-23278.161400000005</v>
      </c>
      <c r="G322" s="363">
        <f t="shared" si="162"/>
        <v>159479.6814</v>
      </c>
      <c r="H322" s="365">
        <f t="shared" si="160"/>
        <v>-0.14596317973331496</v>
      </c>
      <c r="I322" s="363"/>
    </row>
    <row r="323" spans="2:14" x14ac:dyDescent="0.25">
      <c r="B323" s="620">
        <v>42488</v>
      </c>
      <c r="C323" s="362">
        <v>9678</v>
      </c>
      <c r="D323" s="621">
        <v>17.2287</v>
      </c>
      <c r="E323" s="363">
        <v>14.35</v>
      </c>
      <c r="F323" s="363">
        <f t="shared" si="161"/>
        <v>-27860.058600000004</v>
      </c>
      <c r="G323" s="363">
        <f t="shared" si="162"/>
        <v>166739.35860000001</v>
      </c>
      <c r="H323" s="365">
        <f t="shared" si="160"/>
        <v>-0.16708747612994598</v>
      </c>
      <c r="I323" s="363"/>
    </row>
    <row r="324" spans="2:14" x14ac:dyDescent="0.25">
      <c r="B324" s="620">
        <v>42489</v>
      </c>
      <c r="C324" s="362">
        <v>9678</v>
      </c>
      <c r="D324" s="621">
        <v>17.179200000000002</v>
      </c>
      <c r="E324" s="363">
        <v>14.09</v>
      </c>
      <c r="F324" s="363">
        <f t="shared" si="161"/>
        <v>-29897.277600000016</v>
      </c>
      <c r="G324" s="363">
        <f t="shared" si="162"/>
        <v>166260.29760000002</v>
      </c>
      <c r="H324" s="365">
        <f t="shared" si="160"/>
        <v>-0.17982211045916</v>
      </c>
      <c r="I324" s="363"/>
    </row>
    <row r="325" spans="2:14" x14ac:dyDescent="0.25">
      <c r="B325" s="620">
        <v>42492</v>
      </c>
      <c r="C325" s="362">
        <v>9678</v>
      </c>
      <c r="D325" s="621">
        <v>17.136399999999998</v>
      </c>
      <c r="E325" s="363">
        <v>13.55</v>
      </c>
      <c r="F325" s="363">
        <f t="shared" si="161"/>
        <v>-34709.179199999977</v>
      </c>
      <c r="G325" s="363">
        <f t="shared" si="162"/>
        <v>165846.07919999998</v>
      </c>
      <c r="H325" s="365">
        <f t="shared" si="160"/>
        <v>-0.20928549753740563</v>
      </c>
      <c r="I325" s="363"/>
    </row>
    <row r="326" spans="2:14" x14ac:dyDescent="0.25">
      <c r="B326" s="620">
        <v>42493</v>
      </c>
      <c r="C326" s="362">
        <v>9678</v>
      </c>
      <c r="D326" s="621">
        <v>17.1221</v>
      </c>
      <c r="E326" s="363">
        <v>12.79</v>
      </c>
      <c r="F326" s="363">
        <f t="shared" si="161"/>
        <v>-41926.063800000004</v>
      </c>
      <c r="G326" s="363">
        <f t="shared" si="162"/>
        <v>165707.6838</v>
      </c>
      <c r="H326" s="365">
        <f t="shared" si="160"/>
        <v>-0.25301218892542388</v>
      </c>
      <c r="I326" s="363"/>
    </row>
    <row r="327" spans="2:14" x14ac:dyDescent="0.25">
      <c r="B327" s="620">
        <v>42494</v>
      </c>
      <c r="C327" s="362">
        <v>11678</v>
      </c>
      <c r="D327" s="621">
        <v>16.316800000000001</v>
      </c>
      <c r="E327" s="363">
        <v>12.17</v>
      </c>
      <c r="F327" s="363">
        <f t="shared" si="161"/>
        <v>-48426.330400000006</v>
      </c>
      <c r="G327" s="363">
        <f t="shared" si="162"/>
        <v>190547.59040000002</v>
      </c>
      <c r="H327" s="365">
        <f t="shared" si="160"/>
        <v>-0.25414296920964896</v>
      </c>
      <c r="I327" s="363"/>
    </row>
    <row r="328" spans="2:14" x14ac:dyDescent="0.25">
      <c r="B328" s="620">
        <v>42495</v>
      </c>
      <c r="C328" s="362">
        <v>9678</v>
      </c>
      <c r="D328" s="621">
        <v>17.0684</v>
      </c>
      <c r="E328" s="363">
        <v>12.07</v>
      </c>
      <c r="F328" s="363">
        <f t="shared" si="161"/>
        <v>-48374.515200000002</v>
      </c>
      <c r="G328" s="363">
        <f t="shared" si="162"/>
        <v>165187.97520000002</v>
      </c>
      <c r="H328" s="364">
        <f t="shared" si="160"/>
        <v>-0.29284525790349419</v>
      </c>
      <c r="I328" s="363"/>
    </row>
    <row r="329" spans="2:14" x14ac:dyDescent="0.25">
      <c r="B329" s="620">
        <v>42499</v>
      </c>
      <c r="C329" s="362">
        <v>10678</v>
      </c>
      <c r="D329" s="621">
        <v>16.537600000000001</v>
      </c>
      <c r="E329" s="363">
        <v>11.44</v>
      </c>
      <c r="F329" s="363">
        <f t="shared" si="161"/>
        <v>-54432.172800000015</v>
      </c>
      <c r="G329" s="363">
        <f t="shared" si="162"/>
        <v>176588.49280000001</v>
      </c>
      <c r="H329" s="364">
        <f t="shared" si="160"/>
        <v>-0.30824303405572762</v>
      </c>
      <c r="I329" s="363"/>
      <c r="N329" s="70"/>
    </row>
    <row r="330" spans="2:14" x14ac:dyDescent="0.25">
      <c r="B330" s="620">
        <v>42500</v>
      </c>
      <c r="C330" s="362">
        <v>9678</v>
      </c>
      <c r="D330" s="621">
        <v>17.042100000000001</v>
      </c>
      <c r="E330" s="363">
        <v>11.94</v>
      </c>
      <c r="F330" s="363">
        <f t="shared" si="161"/>
        <v>-49378.123800000016</v>
      </c>
      <c r="G330" s="363">
        <f t="shared" si="162"/>
        <v>164933.44380000001</v>
      </c>
      <c r="H330" s="364">
        <f t="shared" si="160"/>
        <v>-0.2993821184009014</v>
      </c>
      <c r="I330" s="363"/>
    </row>
    <row r="331" spans="2:14" x14ac:dyDescent="0.25">
      <c r="B331" s="620">
        <v>42502</v>
      </c>
      <c r="C331" s="362">
        <v>10678</v>
      </c>
      <c r="D331" s="621">
        <v>16.601800000000001</v>
      </c>
      <c r="E331" s="363">
        <v>12.33</v>
      </c>
      <c r="F331" s="363">
        <f t="shared" si="161"/>
        <v>-45614.280400000011</v>
      </c>
      <c r="G331" s="363">
        <f t="shared" si="162"/>
        <v>177274.02040000001</v>
      </c>
      <c r="H331" s="364">
        <f t="shared" si="160"/>
        <v>-0.25730944837306802</v>
      </c>
      <c r="I331" s="363"/>
    </row>
    <row r="332" spans="2:14" x14ac:dyDescent="0.25">
      <c r="B332" s="620">
        <v>42502</v>
      </c>
      <c r="C332" s="362">
        <v>9678</v>
      </c>
      <c r="D332" s="621">
        <v>17.0334</v>
      </c>
      <c r="E332" s="363">
        <v>12.33</v>
      </c>
      <c r="F332" s="363">
        <f t="shared" si="161"/>
        <v>-45519.5052</v>
      </c>
      <c r="G332" s="363">
        <f t="shared" si="162"/>
        <v>164849.2452</v>
      </c>
      <c r="H332" s="364">
        <f t="shared" si="160"/>
        <v>-0.27612807777660364</v>
      </c>
      <c r="I332" s="363"/>
    </row>
    <row r="333" spans="2:14" x14ac:dyDescent="0.25">
      <c r="B333" s="620">
        <v>42503</v>
      </c>
      <c r="C333" s="362">
        <v>9678</v>
      </c>
      <c r="D333" s="621">
        <v>17.029299999999999</v>
      </c>
      <c r="E333" s="363">
        <v>12.3</v>
      </c>
      <c r="F333" s="363">
        <f t="shared" si="161"/>
        <v>-45770.165399999983</v>
      </c>
      <c r="G333" s="363">
        <f t="shared" si="162"/>
        <v>164809.56539999999</v>
      </c>
      <c r="H333" s="364">
        <f t="shared" si="160"/>
        <v>-0.27771546687180321</v>
      </c>
      <c r="I333" s="363"/>
    </row>
    <row r="334" spans="2:14" x14ac:dyDescent="0.25">
      <c r="B334" s="620">
        <v>42506</v>
      </c>
      <c r="C334" s="362">
        <v>9678</v>
      </c>
      <c r="D334" s="621">
        <v>17.027699999999999</v>
      </c>
      <c r="E334" s="363">
        <v>12.78</v>
      </c>
      <c r="F334" s="363">
        <f t="shared" si="161"/>
        <v>-41109.240599999997</v>
      </c>
      <c r="G334" s="363">
        <f t="shared" si="162"/>
        <v>164794.08059999999</v>
      </c>
      <c r="H334" s="364">
        <f t="shared" si="160"/>
        <v>-0.24945823569830336</v>
      </c>
      <c r="I334" s="363"/>
    </row>
    <row r="335" spans="2:14" x14ac:dyDescent="0.25">
      <c r="B335" s="620">
        <v>42513</v>
      </c>
      <c r="C335" s="362">
        <v>9178</v>
      </c>
      <c r="D335" s="621">
        <v>17.244399999999999</v>
      </c>
      <c r="E335" s="363">
        <v>13.19</v>
      </c>
      <c r="F335" s="363">
        <f t="shared" si="161"/>
        <v>-37211.283199999991</v>
      </c>
      <c r="G335" s="363">
        <f t="shared" si="162"/>
        <v>158269.10319999998</v>
      </c>
      <c r="H335" s="364">
        <f t="shared" si="160"/>
        <v>-0.23511400802579385</v>
      </c>
      <c r="I335" s="363"/>
    </row>
    <row r="336" spans="2:14" x14ac:dyDescent="0.25">
      <c r="B336" s="620">
        <v>42514</v>
      </c>
      <c r="C336" s="362">
        <v>9678</v>
      </c>
      <c r="D336" s="621">
        <v>17.026</v>
      </c>
      <c r="E336" s="363">
        <v>13.02</v>
      </c>
      <c r="F336" s="363">
        <f t="shared" si="161"/>
        <v>-38770.067999999999</v>
      </c>
      <c r="G336" s="363">
        <f t="shared" si="162"/>
        <v>164777.628</v>
      </c>
      <c r="H336" s="364">
        <f t="shared" si="160"/>
        <v>-0.23528720779983556</v>
      </c>
      <c r="I336" s="363"/>
    </row>
    <row r="337" spans="2:9" x14ac:dyDescent="0.25">
      <c r="B337" s="620">
        <v>42515</v>
      </c>
      <c r="C337" s="362">
        <v>9178</v>
      </c>
      <c r="D337" s="621">
        <v>17.206800000000001</v>
      </c>
      <c r="E337" s="363">
        <v>13.54</v>
      </c>
      <c r="F337" s="363">
        <f t="shared" si="161"/>
        <v>-33653.890400000018</v>
      </c>
      <c r="G337" s="363">
        <f t="shared" si="162"/>
        <v>157924.0104</v>
      </c>
      <c r="H337" s="364">
        <f t="shared" si="160"/>
        <v>-0.21310179696399109</v>
      </c>
      <c r="I337" s="363"/>
    </row>
    <row r="338" spans="2:9" x14ac:dyDescent="0.25">
      <c r="B338" s="620">
        <v>42516</v>
      </c>
      <c r="C338" s="362">
        <v>9678</v>
      </c>
      <c r="D338" s="621">
        <v>17.003799999999998</v>
      </c>
      <c r="E338" s="363">
        <v>13.17</v>
      </c>
      <c r="F338" s="363">
        <f t="shared" si="161"/>
        <v>-37103.516399999986</v>
      </c>
      <c r="G338" s="363">
        <f t="shared" si="162"/>
        <v>164562.77639999997</v>
      </c>
      <c r="H338" s="364">
        <f t="shared" si="160"/>
        <v>-0.22546724849739463</v>
      </c>
      <c r="I338" s="363"/>
    </row>
    <row r="339" spans="2:9" x14ac:dyDescent="0.25">
      <c r="B339" s="620">
        <v>42517</v>
      </c>
      <c r="C339" s="362">
        <v>9678</v>
      </c>
      <c r="D339" s="621">
        <v>16.999700000000001</v>
      </c>
      <c r="E339" s="363">
        <v>12.9</v>
      </c>
      <c r="F339" s="363">
        <f t="shared" si="161"/>
        <v>-39676.8966</v>
      </c>
      <c r="G339" s="363">
        <f t="shared" si="162"/>
        <v>164523.09660000002</v>
      </c>
      <c r="H339" s="364">
        <f t="shared" si="160"/>
        <v>-0.2411630793484591</v>
      </c>
      <c r="I339" s="363"/>
    </row>
    <row r="340" spans="2:9" x14ac:dyDescent="0.25">
      <c r="B340" s="620">
        <v>42525</v>
      </c>
      <c r="C340" s="362">
        <v>9678</v>
      </c>
      <c r="D340" s="621">
        <v>16.9956</v>
      </c>
      <c r="E340" s="363">
        <v>13.32</v>
      </c>
      <c r="F340" s="363">
        <f t="shared" si="161"/>
        <v>-35572.456799999993</v>
      </c>
      <c r="G340" s="363">
        <f t="shared" si="162"/>
        <v>164483.41680000001</v>
      </c>
      <c r="H340" s="364">
        <f t="shared" si="160"/>
        <v>-0.21626773988561743</v>
      </c>
      <c r="I340" s="363"/>
    </row>
    <row r="341" spans="2:9" x14ac:dyDescent="0.25">
      <c r="B341" s="620">
        <v>42527</v>
      </c>
      <c r="C341" s="362">
        <v>8178</v>
      </c>
      <c r="D341" s="621">
        <v>17.568999999999999</v>
      </c>
      <c r="E341" s="363">
        <v>13.96</v>
      </c>
      <c r="F341" s="363">
        <f t="shared" si="161"/>
        <v>-29514.401999999984</v>
      </c>
      <c r="G341" s="363">
        <f t="shared" si="162"/>
        <v>143679.28200000001</v>
      </c>
      <c r="H341" s="364">
        <f t="shared" si="160"/>
        <v>-0.20541863509590746</v>
      </c>
      <c r="I341" s="363"/>
    </row>
    <row r="342" spans="2:9" x14ac:dyDescent="0.25">
      <c r="B342" s="620">
        <v>42528</v>
      </c>
      <c r="C342" s="362">
        <v>7678</v>
      </c>
      <c r="D342" s="621">
        <v>17.759599999999999</v>
      </c>
      <c r="E342" s="363">
        <v>14.62</v>
      </c>
      <c r="F342" s="363">
        <f t="shared" si="161"/>
        <v>-24105.848799999996</v>
      </c>
      <c r="G342" s="363">
        <f t="shared" si="162"/>
        <v>136358.20879999999</v>
      </c>
      <c r="H342" s="364">
        <f t="shared" si="160"/>
        <v>-0.17678326088425414</v>
      </c>
      <c r="I342" s="363"/>
    </row>
    <row r="343" spans="2:9" x14ac:dyDescent="0.25">
      <c r="B343" s="620">
        <v>42529</v>
      </c>
      <c r="C343" s="362">
        <v>8178</v>
      </c>
      <c r="D343" s="621">
        <v>17.5654</v>
      </c>
      <c r="E343" s="363">
        <v>14.53</v>
      </c>
      <c r="F343" s="363">
        <f t="shared" si="161"/>
        <v>-24823.50120000001</v>
      </c>
      <c r="G343" s="363">
        <f t="shared" si="162"/>
        <v>143649.8412</v>
      </c>
      <c r="H343" s="364">
        <f t="shared" si="160"/>
        <v>-0.17280562924840887</v>
      </c>
      <c r="I343" s="363"/>
    </row>
    <row r="344" spans="2:9" x14ac:dyDescent="0.25">
      <c r="B344" s="620">
        <v>42531</v>
      </c>
      <c r="C344" s="362">
        <v>8978</v>
      </c>
      <c r="D344" s="621">
        <v>17.1751</v>
      </c>
      <c r="E344" s="363">
        <v>13.42</v>
      </c>
      <c r="F344" s="363">
        <f t="shared" ref="F344:F352" si="163">C344*(E344-D344)</f>
        <v>-33713.287800000006</v>
      </c>
      <c r="G344" s="363">
        <f t="shared" ref="G344:G352" si="164">IF(C344=0, 0,D344*C344)</f>
        <v>154198.0478</v>
      </c>
      <c r="H344" s="364">
        <f t="shared" ref="H344:H352" si="165">IF(C344=0, D344, (E344-D344)/D344)</f>
        <v>-0.21863628159370255</v>
      </c>
      <c r="I344" s="363"/>
    </row>
    <row r="345" spans="2:9" x14ac:dyDescent="0.25">
      <c r="B345" s="620">
        <v>42531</v>
      </c>
      <c r="C345" s="383">
        <v>9278</v>
      </c>
      <c r="D345" s="622">
        <v>17.1052</v>
      </c>
      <c r="E345" s="363">
        <v>13.42</v>
      </c>
      <c r="F345" s="363">
        <f t="shared" si="163"/>
        <v>-34191.285600000003</v>
      </c>
      <c r="G345" s="363">
        <f t="shared" si="164"/>
        <v>158702.04560000001</v>
      </c>
      <c r="H345" s="364">
        <f t="shared" si="165"/>
        <v>-0.21544325702125669</v>
      </c>
      <c r="I345" s="363"/>
    </row>
    <row r="346" spans="2:9" x14ac:dyDescent="0.25">
      <c r="B346" s="620">
        <v>42532</v>
      </c>
      <c r="C346" s="362">
        <v>9278</v>
      </c>
      <c r="D346" s="621">
        <v>17.053000000000001</v>
      </c>
      <c r="E346" s="363">
        <v>13.42</v>
      </c>
      <c r="F346" s="363">
        <f t="shared" si="163"/>
        <v>-33706.974000000009</v>
      </c>
      <c r="G346" s="363">
        <f t="shared" si="164"/>
        <v>158217.734</v>
      </c>
      <c r="H346" s="364">
        <f t="shared" si="165"/>
        <v>-0.21304169354365804</v>
      </c>
      <c r="I346" s="363" t="s">
        <v>182</v>
      </c>
    </row>
    <row r="347" spans="2:9" x14ac:dyDescent="0.25">
      <c r="B347" s="620">
        <v>42535</v>
      </c>
      <c r="C347" s="362">
        <v>9678</v>
      </c>
      <c r="D347" s="621">
        <v>16.879300000000001</v>
      </c>
      <c r="E347" s="363">
        <v>13.23</v>
      </c>
      <c r="F347" s="363">
        <f t="shared" si="163"/>
        <v>-35317.9254</v>
      </c>
      <c r="G347" s="363">
        <f t="shared" si="164"/>
        <v>163357.86540000001</v>
      </c>
      <c r="H347" s="364">
        <f t="shared" si="165"/>
        <v>-0.21619972392220058</v>
      </c>
      <c r="I347" s="363" t="s">
        <v>217</v>
      </c>
    </row>
    <row r="348" spans="2:9" x14ac:dyDescent="0.25">
      <c r="B348" s="620">
        <v>42536</v>
      </c>
      <c r="C348" s="362">
        <v>9278</v>
      </c>
      <c r="D348" s="621">
        <v>17.027999999999999</v>
      </c>
      <c r="E348" s="363">
        <v>13.06</v>
      </c>
      <c r="F348" s="363">
        <f t="shared" si="163"/>
        <v>-36815.103999999985</v>
      </c>
      <c r="G348" s="363">
        <f t="shared" si="164"/>
        <v>157985.78399999999</v>
      </c>
      <c r="H348" s="364">
        <f t="shared" si="165"/>
        <v>-0.23302795395818643</v>
      </c>
      <c r="I348" s="363"/>
    </row>
    <row r="349" spans="2:9" x14ac:dyDescent="0.25">
      <c r="B349" s="620">
        <v>42537</v>
      </c>
      <c r="C349" s="383">
        <v>9278</v>
      </c>
      <c r="D349" s="622">
        <v>17.0168</v>
      </c>
      <c r="E349" s="363">
        <v>12.67</v>
      </c>
      <c r="F349" s="363">
        <f t="shared" si="163"/>
        <v>-40329.610399999998</v>
      </c>
      <c r="G349" s="363">
        <f t="shared" si="164"/>
        <v>157881.87039999999</v>
      </c>
      <c r="H349" s="364">
        <f t="shared" si="165"/>
        <v>-0.25544168116214566</v>
      </c>
      <c r="I349" s="363"/>
    </row>
    <row r="350" spans="2:9" x14ac:dyDescent="0.25">
      <c r="B350" s="620">
        <v>42538</v>
      </c>
      <c r="C350" s="383">
        <v>9278</v>
      </c>
      <c r="D350" s="622">
        <v>17.0061</v>
      </c>
      <c r="E350" s="363">
        <v>13.16</v>
      </c>
      <c r="F350" s="363">
        <f t="shared" si="163"/>
        <v>-35684.1158</v>
      </c>
      <c r="G350" s="363">
        <f t="shared" si="164"/>
        <v>157782.59580000001</v>
      </c>
      <c r="H350" s="364">
        <f t="shared" si="165"/>
        <v>-0.2261600249322302</v>
      </c>
      <c r="I350" s="363"/>
    </row>
    <row r="351" spans="2:9" x14ac:dyDescent="0.25">
      <c r="B351" s="620">
        <v>42541</v>
      </c>
      <c r="C351" s="362">
        <v>7678</v>
      </c>
      <c r="D351" s="621">
        <v>17.568000000000001</v>
      </c>
      <c r="E351" s="363">
        <v>14.48</v>
      </c>
      <c r="F351" s="363">
        <f t="shared" si="163"/>
        <v>-23709.664000000008</v>
      </c>
      <c r="G351" s="363">
        <f t="shared" si="164"/>
        <v>134887.10400000002</v>
      </c>
      <c r="H351" s="365">
        <f t="shared" si="165"/>
        <v>-0.17577413479052828</v>
      </c>
      <c r="I351" s="363"/>
    </row>
    <row r="352" spans="2:9" x14ac:dyDescent="0.25">
      <c r="B352" s="620">
        <v>42542</v>
      </c>
      <c r="C352" s="362">
        <v>6800</v>
      </c>
      <c r="D352" s="621">
        <v>17.892099999999999</v>
      </c>
      <c r="E352" s="363">
        <v>15.09</v>
      </c>
      <c r="F352" s="363">
        <f t="shared" si="163"/>
        <v>-19054.279999999995</v>
      </c>
      <c r="G352" s="363">
        <f t="shared" si="164"/>
        <v>121666.28</v>
      </c>
      <c r="H352" s="365">
        <f t="shared" si="165"/>
        <v>-0.15661101827063337</v>
      </c>
      <c r="I352" s="363"/>
    </row>
    <row r="353" spans="2:14" ht="15" customHeight="1" x14ac:dyDescent="0.25">
      <c r="B353" s="620">
        <v>42543</v>
      </c>
      <c r="C353" s="362">
        <v>7300</v>
      </c>
      <c r="D353" s="621">
        <v>17.6769</v>
      </c>
      <c r="E353" s="363">
        <v>14.75</v>
      </c>
      <c r="F353" s="363">
        <f t="shared" ref="F353:F361" si="166">C353*(E353-D353)</f>
        <v>-21366.37</v>
      </c>
      <c r="G353" s="363">
        <f t="shared" ref="G353:G361" si="167">IF(C353=0, 0,D353*C353)</f>
        <v>129041.37</v>
      </c>
      <c r="H353" s="365">
        <f t="shared" ref="H353:H361" si="168">IF(C353=0, D353, (E353-D353)/D353)</f>
        <v>-0.16557767481854849</v>
      </c>
      <c r="I353" s="363"/>
    </row>
    <row r="354" spans="2:14" x14ac:dyDescent="0.25">
      <c r="B354" s="620">
        <v>42544</v>
      </c>
      <c r="C354" s="362">
        <v>6800</v>
      </c>
      <c r="D354" s="621">
        <v>17.856100000000001</v>
      </c>
      <c r="E354" s="363">
        <v>15.27</v>
      </c>
      <c r="F354" s="363">
        <f t="shared" si="166"/>
        <v>-17585.480000000014</v>
      </c>
      <c r="G354" s="363">
        <f t="shared" si="167"/>
        <v>121421.48000000001</v>
      </c>
      <c r="H354" s="365">
        <f t="shared" si="168"/>
        <v>-0.1448300580753917</v>
      </c>
      <c r="I354" s="363"/>
    </row>
    <row r="355" spans="2:14" x14ac:dyDescent="0.25">
      <c r="B355" s="620">
        <v>42545</v>
      </c>
      <c r="C355" s="362">
        <v>7678</v>
      </c>
      <c r="D355" s="621">
        <v>17.462</v>
      </c>
      <c r="E355" s="363">
        <v>14.41</v>
      </c>
      <c r="F355" s="363">
        <f t="shared" si="166"/>
        <v>-23433.255999999998</v>
      </c>
      <c r="G355" s="363">
        <f t="shared" si="167"/>
        <v>134073.236</v>
      </c>
      <c r="H355" s="365">
        <f t="shared" si="168"/>
        <v>-0.17477952124613444</v>
      </c>
      <c r="I355" s="363"/>
    </row>
    <row r="356" spans="2:14" x14ac:dyDescent="0.25">
      <c r="B356" s="620">
        <v>42545</v>
      </c>
      <c r="C356" s="362">
        <v>8013</v>
      </c>
      <c r="D356" s="621">
        <v>17.32</v>
      </c>
      <c r="E356" s="363">
        <v>14.68</v>
      </c>
      <c r="F356" s="363">
        <f t="shared" si="166"/>
        <v>-21154.320000000003</v>
      </c>
      <c r="G356" s="363">
        <f t="shared" si="167"/>
        <v>138785.16</v>
      </c>
      <c r="H356" s="365">
        <f t="shared" si="168"/>
        <v>-0.15242494226327949</v>
      </c>
      <c r="I356" s="363"/>
    </row>
    <row r="357" spans="2:14" x14ac:dyDescent="0.25">
      <c r="B357" s="620">
        <v>42548</v>
      </c>
      <c r="C357" s="362">
        <v>8978</v>
      </c>
      <c r="D357" s="621">
        <v>16.943300000000001</v>
      </c>
      <c r="E357" s="363">
        <v>13.66</v>
      </c>
      <c r="F357" s="363">
        <f t="shared" si="166"/>
        <v>-29477.467400000005</v>
      </c>
      <c r="G357" s="363">
        <f t="shared" si="167"/>
        <v>152116.9474</v>
      </c>
      <c r="H357" s="365">
        <f t="shared" si="168"/>
        <v>-0.19378161279089673</v>
      </c>
      <c r="I357" s="363"/>
    </row>
    <row r="358" spans="2:14" x14ac:dyDescent="0.25">
      <c r="B358" s="620">
        <v>42548</v>
      </c>
      <c r="C358" s="362">
        <v>9278</v>
      </c>
      <c r="D358" s="621">
        <v>16.834599999999998</v>
      </c>
      <c r="E358" s="363">
        <v>13.66</v>
      </c>
      <c r="F358" s="363">
        <f t="shared" si="166"/>
        <v>-29453.938799999982</v>
      </c>
      <c r="G358" s="363">
        <f t="shared" si="167"/>
        <v>156191.41879999998</v>
      </c>
      <c r="H358" s="364">
        <f t="shared" si="168"/>
        <v>-0.18857590913951019</v>
      </c>
      <c r="I358" s="363"/>
    </row>
    <row r="359" spans="2:14" x14ac:dyDescent="0.25">
      <c r="B359" s="620">
        <v>42549</v>
      </c>
      <c r="C359" s="362">
        <v>8178</v>
      </c>
      <c r="D359" s="621">
        <v>17.124400000000001</v>
      </c>
      <c r="E359" s="363">
        <v>14.78</v>
      </c>
      <c r="F359" s="363">
        <f t="shared" si="166"/>
        <v>-19172.503200000017</v>
      </c>
      <c r="G359" s="363">
        <f t="shared" si="167"/>
        <v>140043.3432</v>
      </c>
      <c r="H359" s="364">
        <f t="shared" si="168"/>
        <v>-0.13690406671182651</v>
      </c>
      <c r="I359" s="363">
        <v>17</v>
      </c>
    </row>
    <row r="360" spans="2:14" x14ac:dyDescent="0.25">
      <c r="B360" s="620">
        <v>42552</v>
      </c>
      <c r="C360" s="362">
        <v>7678</v>
      </c>
      <c r="D360" s="621">
        <v>17.2315</v>
      </c>
      <c r="E360" s="363">
        <v>15.48</v>
      </c>
      <c r="F360" s="363">
        <f t="shared" si="166"/>
        <v>-13448.017</v>
      </c>
      <c r="G360" s="363">
        <f t="shared" si="167"/>
        <v>132303.45699999999</v>
      </c>
      <c r="H360" s="364">
        <f t="shared" si="168"/>
        <v>-0.1016452427240809</v>
      </c>
      <c r="I360" s="363">
        <v>17</v>
      </c>
      <c r="N360" s="29"/>
    </row>
    <row r="361" spans="2:14" x14ac:dyDescent="0.25">
      <c r="B361" s="620">
        <v>42552</v>
      </c>
      <c r="C361" s="362">
        <v>7300</v>
      </c>
      <c r="D361" s="621">
        <v>17.313400000000001</v>
      </c>
      <c r="E361" s="363">
        <v>15.65</v>
      </c>
      <c r="F361" s="363">
        <f t="shared" si="166"/>
        <v>-12142.820000000009</v>
      </c>
      <c r="G361" s="363">
        <f t="shared" si="167"/>
        <v>126387.82</v>
      </c>
      <c r="H361" s="364">
        <f t="shared" si="168"/>
        <v>-9.6075871868032903E-2</v>
      </c>
      <c r="I361" s="363"/>
    </row>
    <row r="362" spans="2:14" x14ac:dyDescent="0.25">
      <c r="B362" s="620">
        <v>42552</v>
      </c>
      <c r="C362" s="362">
        <v>6800</v>
      </c>
      <c r="D362" s="621">
        <v>17.446100000000001</v>
      </c>
      <c r="E362" s="363">
        <v>15.7</v>
      </c>
      <c r="F362" s="363">
        <f t="shared" ref="F362:F383" si="169">C362*(E362-D362)</f>
        <v>-11873.480000000014</v>
      </c>
      <c r="G362" s="363">
        <f t="shared" ref="G362:G383" si="170">IF(C362=0, 0,D362*C362)</f>
        <v>118633.48000000001</v>
      </c>
      <c r="H362" s="364">
        <f t="shared" ref="H362:H383" si="171">IF(C362=0, D362, (E362-D362)/D362)</f>
        <v>-0.10008540590733757</v>
      </c>
      <c r="I362" s="363"/>
    </row>
    <row r="363" spans="2:14" x14ac:dyDescent="0.25">
      <c r="B363" s="620">
        <v>42552</v>
      </c>
      <c r="C363" s="362">
        <v>6000</v>
      </c>
      <c r="D363" s="621">
        <v>17.668199999999999</v>
      </c>
      <c r="E363" s="363">
        <v>15.68</v>
      </c>
      <c r="F363" s="363">
        <f t="shared" si="169"/>
        <v>-11929.199999999995</v>
      </c>
      <c r="G363" s="363">
        <f t="shared" si="170"/>
        <v>106009.2</v>
      </c>
      <c r="H363" s="364">
        <f t="shared" si="171"/>
        <v>-0.11252985589929926</v>
      </c>
      <c r="I363" s="363"/>
    </row>
    <row r="364" spans="2:14" ht="15" customHeight="1" x14ac:dyDescent="0.25">
      <c r="B364" s="620">
        <v>42556</v>
      </c>
      <c r="C364" s="362">
        <v>8178</v>
      </c>
      <c r="D364" s="621">
        <v>16.978899999999999</v>
      </c>
      <c r="E364" s="363">
        <v>14.72</v>
      </c>
      <c r="F364" s="363">
        <f t="shared" si="169"/>
        <v>-18473.284199999991</v>
      </c>
      <c r="G364" s="363">
        <f t="shared" si="170"/>
        <v>138853.4442</v>
      </c>
      <c r="H364" s="364">
        <f t="shared" si="171"/>
        <v>-0.13304159869013887</v>
      </c>
      <c r="I364" s="363">
        <v>16.75</v>
      </c>
    </row>
    <row r="365" spans="2:14" x14ac:dyDescent="0.25">
      <c r="B365" s="620">
        <v>42556</v>
      </c>
      <c r="C365" s="362">
        <v>8678</v>
      </c>
      <c r="D365" s="621">
        <v>16.843</v>
      </c>
      <c r="E365" s="363">
        <v>14.72</v>
      </c>
      <c r="F365" s="363">
        <f t="shared" si="169"/>
        <v>-18423.393999999993</v>
      </c>
      <c r="G365" s="363">
        <f t="shared" si="170"/>
        <v>146163.554</v>
      </c>
      <c r="H365" s="364">
        <f t="shared" si="171"/>
        <v>-0.12604642878347083</v>
      </c>
      <c r="I365" s="363"/>
    </row>
    <row r="366" spans="2:14" x14ac:dyDescent="0.25">
      <c r="B366" s="620">
        <v>42557</v>
      </c>
      <c r="C366" s="362">
        <v>8178</v>
      </c>
      <c r="D366" s="621">
        <v>16.960599999999999</v>
      </c>
      <c r="E366" s="363">
        <v>14.84</v>
      </c>
      <c r="F366" s="363">
        <f t="shared" si="169"/>
        <v>-17342.266799999998</v>
      </c>
      <c r="G366" s="363">
        <f t="shared" si="170"/>
        <v>138703.7868</v>
      </c>
      <c r="H366" s="364">
        <f t="shared" si="171"/>
        <v>-0.12503095409360515</v>
      </c>
      <c r="I366" s="363">
        <v>16.75</v>
      </c>
    </row>
    <row r="367" spans="2:14" x14ac:dyDescent="0.25">
      <c r="B367" s="620">
        <v>42557</v>
      </c>
      <c r="C367" s="362">
        <v>8678</v>
      </c>
      <c r="D367" s="621">
        <v>16.835000000000001</v>
      </c>
      <c r="E367" s="363">
        <v>14.84</v>
      </c>
      <c r="F367" s="363">
        <f t="shared" si="169"/>
        <v>-17312.610000000008</v>
      </c>
      <c r="G367" s="363">
        <f t="shared" si="170"/>
        <v>146094.13</v>
      </c>
      <c r="H367" s="364">
        <f t="shared" si="171"/>
        <v>-0.11850311850311855</v>
      </c>
      <c r="I367" s="363"/>
    </row>
    <row r="368" spans="2:14" x14ac:dyDescent="0.25">
      <c r="B368" s="620">
        <v>42559</v>
      </c>
      <c r="C368" s="362">
        <v>8678</v>
      </c>
      <c r="D368" s="621">
        <v>16.835000000000001</v>
      </c>
      <c r="E368" s="363">
        <v>14.92</v>
      </c>
      <c r="F368" s="363">
        <f t="shared" si="169"/>
        <v>-16618.370000000006</v>
      </c>
      <c r="G368" s="363">
        <f t="shared" si="170"/>
        <v>146094.13</v>
      </c>
      <c r="H368" s="364">
        <f t="shared" si="171"/>
        <v>-0.1137511137511138</v>
      </c>
      <c r="I368" s="363"/>
    </row>
    <row r="369" spans="2:9" x14ac:dyDescent="0.25">
      <c r="B369" s="620">
        <v>42562</v>
      </c>
      <c r="C369" s="362">
        <v>8678</v>
      </c>
      <c r="D369" s="621">
        <v>16.835000000000001</v>
      </c>
      <c r="E369" s="363">
        <v>14.69</v>
      </c>
      <c r="F369" s="363">
        <f t="shared" si="169"/>
        <v>-18614.310000000012</v>
      </c>
      <c r="G369" s="363">
        <f t="shared" si="170"/>
        <v>146094.13</v>
      </c>
      <c r="H369" s="364">
        <f t="shared" si="171"/>
        <v>-0.12741312741312749</v>
      </c>
      <c r="I369" s="363"/>
    </row>
    <row r="370" spans="2:9" x14ac:dyDescent="0.25">
      <c r="B370" s="620">
        <v>42563</v>
      </c>
      <c r="C370" s="362">
        <v>8678</v>
      </c>
      <c r="D370" s="621">
        <v>16.835000000000001</v>
      </c>
      <c r="E370" s="363">
        <v>15.6</v>
      </c>
      <c r="F370" s="363">
        <f t="shared" si="169"/>
        <v>-10717.330000000011</v>
      </c>
      <c r="G370" s="363">
        <f t="shared" si="170"/>
        <v>146094.13</v>
      </c>
      <c r="H370" s="364">
        <f t="shared" si="171"/>
        <v>-7.3359073359073421E-2</v>
      </c>
      <c r="I370" s="363"/>
    </row>
    <row r="371" spans="2:9" x14ac:dyDescent="0.25">
      <c r="B371" s="620">
        <v>42564</v>
      </c>
      <c r="C371" s="362">
        <v>8738</v>
      </c>
      <c r="D371" s="621">
        <v>16.816099999999999</v>
      </c>
      <c r="E371" s="363">
        <v>15.29</v>
      </c>
      <c r="F371" s="363">
        <f t="shared" si="169"/>
        <v>-13335.061799999996</v>
      </c>
      <c r="G371" s="363">
        <f t="shared" si="170"/>
        <v>146939.08179999999</v>
      </c>
      <c r="H371" s="364">
        <f t="shared" si="171"/>
        <v>-9.0752314745987453E-2</v>
      </c>
      <c r="I371" s="363"/>
    </row>
    <row r="372" spans="2:9" x14ac:dyDescent="0.25">
      <c r="B372" s="620">
        <v>42566</v>
      </c>
      <c r="C372" s="362">
        <v>8738</v>
      </c>
      <c r="D372" s="621">
        <v>16.816099999999999</v>
      </c>
      <c r="E372" s="363">
        <v>15.21</v>
      </c>
      <c r="F372" s="363">
        <f t="shared" si="169"/>
        <v>-14034.101799999982</v>
      </c>
      <c r="G372" s="363">
        <f t="shared" si="170"/>
        <v>146939.08179999999</v>
      </c>
      <c r="H372" s="364">
        <f t="shared" si="171"/>
        <v>-9.5509660384988079E-2</v>
      </c>
      <c r="I372" s="363"/>
    </row>
    <row r="373" spans="2:9" x14ac:dyDescent="0.25">
      <c r="B373" s="620">
        <v>42570</v>
      </c>
      <c r="C373" s="362">
        <v>9138</v>
      </c>
      <c r="D373" s="621">
        <v>16.733499999999999</v>
      </c>
      <c r="E373" s="363">
        <v>14.75</v>
      </c>
      <c r="F373" s="363">
        <f t="shared" si="169"/>
        <v>-18125.222999999994</v>
      </c>
      <c r="G373" s="363">
        <f t="shared" si="170"/>
        <v>152910.723</v>
      </c>
      <c r="H373" s="364">
        <f t="shared" si="171"/>
        <v>-0.1185346759494427</v>
      </c>
      <c r="I373" s="363"/>
    </row>
    <row r="374" spans="2:9" x14ac:dyDescent="0.25">
      <c r="B374" s="620">
        <v>42571</v>
      </c>
      <c r="C374" s="383">
        <v>9138</v>
      </c>
      <c r="D374" s="622">
        <v>16.7227</v>
      </c>
      <c r="E374" s="363">
        <v>14.84</v>
      </c>
      <c r="F374" s="363">
        <f t="shared" si="169"/>
        <v>-17204.112599999997</v>
      </c>
      <c r="G374" s="363">
        <f t="shared" si="170"/>
        <v>152812.03260000001</v>
      </c>
      <c r="H374" s="364">
        <f t="shared" si="171"/>
        <v>-0.11258349429218965</v>
      </c>
      <c r="I374" s="363"/>
    </row>
    <row r="375" spans="2:9" x14ac:dyDescent="0.25">
      <c r="B375" s="620">
        <v>42572</v>
      </c>
      <c r="C375" s="362">
        <v>9138</v>
      </c>
      <c r="D375" s="621">
        <v>16.718900000000001</v>
      </c>
      <c r="E375" s="363">
        <v>14.42</v>
      </c>
      <c r="F375" s="363">
        <f t="shared" si="169"/>
        <v>-21007.348200000015</v>
      </c>
      <c r="G375" s="363">
        <f t="shared" si="170"/>
        <v>152777.3082</v>
      </c>
      <c r="H375" s="364">
        <f t="shared" si="171"/>
        <v>-0.13750306539305823</v>
      </c>
      <c r="I375" s="363"/>
    </row>
    <row r="376" spans="2:9" x14ac:dyDescent="0.25">
      <c r="B376" s="620">
        <v>42573</v>
      </c>
      <c r="C376" s="362">
        <v>9278</v>
      </c>
      <c r="D376" s="621">
        <v>16.679099999999998</v>
      </c>
      <c r="E376" s="363">
        <v>14.11</v>
      </c>
      <c r="F376" s="363">
        <f t="shared" si="169"/>
        <v>-23836.109799999987</v>
      </c>
      <c r="G376" s="363">
        <f t="shared" si="170"/>
        <v>154748.68979999999</v>
      </c>
      <c r="H376" s="364">
        <f t="shared" si="171"/>
        <v>-0.15403109280476759</v>
      </c>
      <c r="I376" s="363"/>
    </row>
    <row r="377" spans="2:9" x14ac:dyDescent="0.25">
      <c r="B377" s="620">
        <v>42576</v>
      </c>
      <c r="C377" s="362">
        <v>9478</v>
      </c>
      <c r="D377" s="621">
        <v>16.613099999999999</v>
      </c>
      <c r="E377" s="363">
        <v>13.58</v>
      </c>
      <c r="F377" s="363">
        <f t="shared" si="169"/>
        <v>-28747.721799999992</v>
      </c>
      <c r="G377" s="363">
        <f t="shared" si="170"/>
        <v>157458.96179999999</v>
      </c>
      <c r="H377" s="364">
        <f t="shared" si="171"/>
        <v>-0.18257278894366491</v>
      </c>
      <c r="I377" s="363"/>
    </row>
    <row r="378" spans="2:9" x14ac:dyDescent="0.25">
      <c r="B378" s="620">
        <v>42577</v>
      </c>
      <c r="C378" s="383">
        <v>9278</v>
      </c>
      <c r="D378" s="622">
        <v>16.674199999999999</v>
      </c>
      <c r="E378" s="363">
        <v>13.78</v>
      </c>
      <c r="F378" s="363">
        <f t="shared" si="169"/>
        <v>-26852.387599999998</v>
      </c>
      <c r="G378" s="363">
        <f t="shared" si="170"/>
        <v>154703.22759999998</v>
      </c>
      <c r="H378" s="364">
        <f t="shared" si="171"/>
        <v>-0.17357354475776948</v>
      </c>
      <c r="I378" s="363">
        <v>16.53</v>
      </c>
    </row>
    <row r="379" spans="2:9" x14ac:dyDescent="0.25">
      <c r="B379" s="620">
        <v>42578</v>
      </c>
      <c r="C379" s="383">
        <v>9478</v>
      </c>
      <c r="D379" s="622">
        <v>16.6004</v>
      </c>
      <c r="E379" s="363">
        <v>13.13</v>
      </c>
      <c r="F379" s="363">
        <f t="shared" si="169"/>
        <v>-32892.451199999996</v>
      </c>
      <c r="G379" s="363">
        <f t="shared" si="170"/>
        <v>157338.5912</v>
      </c>
      <c r="H379" s="364">
        <f t="shared" si="171"/>
        <v>-0.20905520348907253</v>
      </c>
      <c r="I379" s="363"/>
    </row>
    <row r="380" spans="2:9" x14ac:dyDescent="0.25">
      <c r="B380" s="620">
        <v>42580</v>
      </c>
      <c r="C380" s="362">
        <v>9478</v>
      </c>
      <c r="D380" s="621">
        <v>16.599</v>
      </c>
      <c r="E380" s="363">
        <v>13.64</v>
      </c>
      <c r="F380" s="363">
        <f t="shared" si="169"/>
        <v>-28045.401999999998</v>
      </c>
      <c r="G380" s="363">
        <f t="shared" si="170"/>
        <v>157325.32200000001</v>
      </c>
      <c r="H380" s="365">
        <f t="shared" si="171"/>
        <v>-0.17826375082836313</v>
      </c>
      <c r="I380" s="363"/>
    </row>
    <row r="381" spans="2:9" x14ac:dyDescent="0.25">
      <c r="B381" s="620">
        <v>42580</v>
      </c>
      <c r="C381" s="362">
        <v>9278</v>
      </c>
      <c r="D381" s="621">
        <v>16.664000000000001</v>
      </c>
      <c r="E381" s="363">
        <v>13.64</v>
      </c>
      <c r="F381" s="363">
        <f t="shared" si="169"/>
        <v>-28056.67200000001</v>
      </c>
      <c r="G381" s="363">
        <f t="shared" si="170"/>
        <v>154608.592</v>
      </c>
      <c r="H381" s="365">
        <f t="shared" si="171"/>
        <v>-0.18146903504560732</v>
      </c>
      <c r="I381" s="363">
        <v>16.53</v>
      </c>
    </row>
    <row r="382" spans="2:9" x14ac:dyDescent="0.25">
      <c r="B382" s="620">
        <v>42583</v>
      </c>
      <c r="C382" s="362">
        <v>9478</v>
      </c>
      <c r="D382" s="621">
        <v>16.5871</v>
      </c>
      <c r="E382" s="363">
        <v>12.92</v>
      </c>
      <c r="F382" s="363">
        <f t="shared" si="169"/>
        <v>-34756.773799999995</v>
      </c>
      <c r="G382" s="363">
        <f t="shared" si="170"/>
        <v>157212.5338</v>
      </c>
      <c r="H382" s="365">
        <f t="shared" si="171"/>
        <v>-0.22108144280796521</v>
      </c>
      <c r="I382" s="363"/>
    </row>
    <row r="383" spans="2:9" x14ac:dyDescent="0.25">
      <c r="B383" s="620">
        <v>42584</v>
      </c>
      <c r="C383" s="362">
        <v>9678</v>
      </c>
      <c r="D383" s="621">
        <v>16.5063</v>
      </c>
      <c r="E383" s="363">
        <v>12.9</v>
      </c>
      <c r="F383" s="363">
        <f t="shared" si="169"/>
        <v>-34901.771399999991</v>
      </c>
      <c r="G383" s="363">
        <f t="shared" si="170"/>
        <v>159747.97140000001</v>
      </c>
      <c r="H383" s="365">
        <f t="shared" si="171"/>
        <v>-0.21848021664455386</v>
      </c>
      <c r="I383" s="363"/>
    </row>
    <row r="384" spans="2:9" x14ac:dyDescent="0.25">
      <c r="B384" s="620">
        <v>42585</v>
      </c>
      <c r="C384" s="362">
        <v>10078</v>
      </c>
      <c r="D384" s="621">
        <v>16.5063</v>
      </c>
      <c r="E384" s="363">
        <v>12.9</v>
      </c>
      <c r="F384" s="363">
        <f t="shared" ref="F384:F399" si="172">C384*(E384-D384)</f>
        <v>-36344.291399999995</v>
      </c>
      <c r="G384" s="363">
        <f t="shared" ref="G384:G399" si="173">IF(C384=0, 0,D384*C384)</f>
        <v>166350.4914</v>
      </c>
      <c r="H384" s="365">
        <f t="shared" ref="H384:H399" si="174">IF(C384=0, D384, (E384-D384)/D384)</f>
        <v>-0.21848021664455386</v>
      </c>
      <c r="I384" s="363"/>
    </row>
    <row r="385" spans="2:9" ht="15" customHeight="1" x14ac:dyDescent="0.25">
      <c r="B385" s="620">
        <v>42586</v>
      </c>
      <c r="C385" s="362">
        <v>9678</v>
      </c>
      <c r="D385" s="621">
        <v>16.489799999999999</v>
      </c>
      <c r="E385" s="363">
        <v>13.41</v>
      </c>
      <c r="F385" s="363">
        <f t="shared" si="172"/>
        <v>-29806.304399999986</v>
      </c>
      <c r="G385" s="363">
        <f t="shared" si="173"/>
        <v>159588.28439999997</v>
      </c>
      <c r="H385" s="365">
        <f t="shared" si="174"/>
        <v>-0.1867700032747516</v>
      </c>
      <c r="I385" s="363"/>
    </row>
    <row r="386" spans="2:9" x14ac:dyDescent="0.25">
      <c r="B386" s="620">
        <v>42586</v>
      </c>
      <c r="C386" s="362">
        <v>9278</v>
      </c>
      <c r="D386" s="621">
        <v>16.609200000000001</v>
      </c>
      <c r="E386" s="363">
        <v>13.66</v>
      </c>
      <c r="F386" s="363">
        <f t="shared" si="172"/>
        <v>-27362.67760000001</v>
      </c>
      <c r="G386" s="363">
        <f t="shared" si="173"/>
        <v>154100.15760000001</v>
      </c>
      <c r="H386" s="365">
        <f t="shared" si="174"/>
        <v>-0.17756424150470829</v>
      </c>
      <c r="I386" s="363">
        <v>16.53</v>
      </c>
    </row>
    <row r="387" spans="2:9" x14ac:dyDescent="0.25">
      <c r="B387" s="620">
        <v>42586</v>
      </c>
      <c r="C387" s="362">
        <v>9138</v>
      </c>
      <c r="D387" s="621">
        <v>16.6511</v>
      </c>
      <c r="E387" s="363">
        <v>13.87</v>
      </c>
      <c r="F387" s="363">
        <f t="shared" si="172"/>
        <v>-25413.691800000004</v>
      </c>
      <c r="G387" s="363">
        <f t="shared" si="173"/>
        <v>152157.7518</v>
      </c>
      <c r="H387" s="364">
        <f t="shared" si="174"/>
        <v>-0.1670219985466426</v>
      </c>
      <c r="I387" s="363"/>
    </row>
    <row r="388" spans="2:9" x14ac:dyDescent="0.25">
      <c r="B388" s="620">
        <v>42593</v>
      </c>
      <c r="C388" s="362">
        <v>8678</v>
      </c>
      <c r="D388" s="621">
        <v>16.760300000000001</v>
      </c>
      <c r="E388" s="363">
        <v>14.61</v>
      </c>
      <c r="F388" s="363">
        <f t="shared" si="172"/>
        <v>-18660.303400000012</v>
      </c>
      <c r="G388" s="363">
        <f t="shared" si="173"/>
        <v>145445.88340000002</v>
      </c>
      <c r="H388" s="364">
        <f t="shared" si="174"/>
        <v>-0.12829722618330228</v>
      </c>
      <c r="I388" s="363"/>
    </row>
    <row r="389" spans="2:9" x14ac:dyDescent="0.25">
      <c r="B389" s="620">
        <v>42597</v>
      </c>
      <c r="C389" s="362">
        <v>8678</v>
      </c>
      <c r="D389" s="621">
        <v>16.7471</v>
      </c>
      <c r="E389" s="363">
        <v>14.9</v>
      </c>
      <c r="F389" s="363">
        <f t="shared" si="172"/>
        <v>-16029.133799999994</v>
      </c>
      <c r="G389" s="363">
        <f t="shared" si="173"/>
        <v>145331.33379999999</v>
      </c>
      <c r="H389" s="364">
        <f t="shared" si="174"/>
        <v>-0.11029372249523794</v>
      </c>
      <c r="I389" s="363"/>
    </row>
    <row r="390" spans="2:9" x14ac:dyDescent="0.25">
      <c r="B390" s="620">
        <v>42598</v>
      </c>
      <c r="C390" s="362">
        <v>8178</v>
      </c>
      <c r="D390" s="621">
        <v>16.8429</v>
      </c>
      <c r="E390" s="363">
        <v>15.17</v>
      </c>
      <c r="F390" s="363">
        <f t="shared" si="172"/>
        <v>-13680.976200000003</v>
      </c>
      <c r="G390" s="363">
        <f t="shared" si="173"/>
        <v>137741.23620000001</v>
      </c>
      <c r="H390" s="364">
        <f t="shared" si="174"/>
        <v>-9.9323750660515728E-2</v>
      </c>
      <c r="I390" s="363">
        <v>16.75</v>
      </c>
    </row>
    <row r="391" spans="2:9" x14ac:dyDescent="0.25">
      <c r="B391" s="620">
        <v>42599</v>
      </c>
      <c r="C391" s="362">
        <v>7178</v>
      </c>
      <c r="D391" s="621">
        <v>17.009899999999998</v>
      </c>
      <c r="E391" s="363">
        <v>15.7</v>
      </c>
      <c r="F391" s="363">
        <f t="shared" si="172"/>
        <v>-9402.4621999999927</v>
      </c>
      <c r="G391" s="363">
        <f t="shared" si="173"/>
        <v>122097.06219999999</v>
      </c>
      <c r="H391" s="364">
        <f t="shared" si="174"/>
        <v>-7.7008095285686515E-2</v>
      </c>
      <c r="I391" s="363"/>
    </row>
    <row r="392" spans="2:9" x14ac:dyDescent="0.25">
      <c r="B392" s="620">
        <v>42600</v>
      </c>
      <c r="C392" s="362">
        <v>5500</v>
      </c>
      <c r="D392" s="621">
        <v>17.185600000000001</v>
      </c>
      <c r="E392" s="363">
        <v>16.68</v>
      </c>
      <c r="F392" s="363">
        <f t="shared" si="172"/>
        <v>-2780.8000000000065</v>
      </c>
      <c r="G392" s="363">
        <f t="shared" si="173"/>
        <v>94520.8</v>
      </c>
      <c r="H392" s="364">
        <f t="shared" si="174"/>
        <v>-2.9419979517735846E-2</v>
      </c>
      <c r="I392" s="363"/>
    </row>
    <row r="393" spans="2:9" x14ac:dyDescent="0.25">
      <c r="B393" s="620">
        <v>42601</v>
      </c>
      <c r="C393" s="362">
        <v>5000</v>
      </c>
      <c r="D393" s="621">
        <v>17.222200000000001</v>
      </c>
      <c r="E393" s="363">
        <v>16.8</v>
      </c>
      <c r="F393" s="363">
        <f t="shared" si="172"/>
        <v>-2111.0000000000005</v>
      </c>
      <c r="G393" s="363">
        <f t="shared" si="173"/>
        <v>86111</v>
      </c>
      <c r="H393" s="364">
        <f t="shared" si="174"/>
        <v>-2.4514870341768188E-2</v>
      </c>
      <c r="I393" s="363"/>
    </row>
    <row r="394" spans="2:9" x14ac:dyDescent="0.25">
      <c r="B394" s="620">
        <v>42604</v>
      </c>
      <c r="C394" s="362">
        <v>6000</v>
      </c>
      <c r="D394" s="621">
        <v>16.9651</v>
      </c>
      <c r="E394" s="363">
        <v>15.64</v>
      </c>
      <c r="F394" s="363">
        <f t="shared" si="172"/>
        <v>-7950.599999999994</v>
      </c>
      <c r="G394" s="363">
        <f t="shared" si="173"/>
        <v>101790.59999999999</v>
      </c>
      <c r="H394" s="364">
        <f t="shared" si="174"/>
        <v>-7.8107408739117312E-2</v>
      </c>
      <c r="I394" s="363"/>
    </row>
    <row r="395" spans="2:9" x14ac:dyDescent="0.25">
      <c r="B395" s="620">
        <v>42604</v>
      </c>
      <c r="C395" s="362">
        <v>6500</v>
      </c>
      <c r="D395" s="621">
        <v>16.850899999999999</v>
      </c>
      <c r="E395" s="363">
        <v>15.64</v>
      </c>
      <c r="F395" s="363">
        <f t="shared" si="172"/>
        <v>-7870.8499999999922</v>
      </c>
      <c r="G395" s="363">
        <f t="shared" si="173"/>
        <v>109530.84999999999</v>
      </c>
      <c r="H395" s="364">
        <f t="shared" si="174"/>
        <v>-7.1859663282079822E-2</v>
      </c>
      <c r="I395" s="363"/>
    </row>
    <row r="396" spans="2:9" x14ac:dyDescent="0.25">
      <c r="B396" s="620">
        <v>42605</v>
      </c>
      <c r="C396" s="362">
        <v>6000</v>
      </c>
      <c r="D396" s="621">
        <v>16.923500000000001</v>
      </c>
      <c r="E396" s="363">
        <v>16.43</v>
      </c>
      <c r="F396" s="363">
        <f t="shared" si="172"/>
        <v>-2961.0000000000055</v>
      </c>
      <c r="G396" s="363">
        <f t="shared" si="173"/>
        <v>101541</v>
      </c>
      <c r="H396" s="364">
        <f t="shared" si="174"/>
        <v>-2.9160634620498178E-2</v>
      </c>
      <c r="I396" s="363"/>
    </row>
    <row r="397" spans="2:9" x14ac:dyDescent="0.25">
      <c r="B397" s="620">
        <v>42605</v>
      </c>
      <c r="C397" s="362">
        <v>5500</v>
      </c>
      <c r="D397" s="621">
        <v>16.9848</v>
      </c>
      <c r="E397" s="363">
        <v>16.43</v>
      </c>
      <c r="F397" s="363">
        <f t="shared" si="172"/>
        <v>-3051.400000000001</v>
      </c>
      <c r="G397" s="363">
        <f t="shared" si="173"/>
        <v>93416.4</v>
      </c>
      <c r="H397" s="364">
        <f t="shared" si="174"/>
        <v>-3.266450002355048E-2</v>
      </c>
      <c r="I397" s="363"/>
    </row>
    <row r="398" spans="2:9" x14ac:dyDescent="0.25">
      <c r="B398" s="620">
        <v>42605</v>
      </c>
      <c r="C398" s="362">
        <v>5000</v>
      </c>
      <c r="D398" s="621">
        <v>17.035299999999999</v>
      </c>
      <c r="E398" s="363">
        <v>16.43</v>
      </c>
      <c r="F398" s="363">
        <f t="shared" si="172"/>
        <v>-3026.4999999999986</v>
      </c>
      <c r="G398" s="363">
        <f t="shared" si="173"/>
        <v>85176.5</v>
      </c>
      <c r="H398" s="364">
        <f t="shared" si="174"/>
        <v>-3.5532100990296606E-2</v>
      </c>
      <c r="I398" s="363"/>
    </row>
    <row r="399" spans="2:9" x14ac:dyDescent="0.25">
      <c r="B399" s="620">
        <v>42606</v>
      </c>
      <c r="C399" s="362">
        <v>5178</v>
      </c>
      <c r="D399" s="621">
        <v>17.0017</v>
      </c>
      <c r="E399" s="363">
        <v>16.059999999999999</v>
      </c>
      <c r="F399" s="363">
        <f t="shared" si="172"/>
        <v>-4876.1226000000042</v>
      </c>
      <c r="G399" s="363">
        <f t="shared" si="173"/>
        <v>88034.802599999995</v>
      </c>
      <c r="H399" s="364">
        <f t="shared" si="174"/>
        <v>-5.5388578789179958E-2</v>
      </c>
      <c r="I399" s="363"/>
    </row>
    <row r="400" spans="2:9" x14ac:dyDescent="0.25">
      <c r="B400" s="620">
        <v>42607</v>
      </c>
      <c r="C400" s="362">
        <v>5178</v>
      </c>
      <c r="D400" s="621">
        <v>17.0017</v>
      </c>
      <c r="E400" s="363">
        <v>16.010000000000002</v>
      </c>
      <c r="F400" s="363">
        <f>C400*(E400-D400)</f>
        <v>-5135.0225999999902</v>
      </c>
      <c r="G400" s="363">
        <f>IF(C400=0, 0,D400*C400)</f>
        <v>88034.802599999995</v>
      </c>
      <c r="H400" s="364">
        <f>IF(C400=0, D400, (E400-D400)/D400)</f>
        <v>-5.8329461171529789E-2</v>
      </c>
      <c r="I400" s="363"/>
    </row>
    <row r="401" spans="2:9" x14ac:dyDescent="0.25">
      <c r="B401" s="620">
        <v>42608</v>
      </c>
      <c r="C401" s="362">
        <v>6178</v>
      </c>
      <c r="D401" s="621">
        <v>16.825800000000001</v>
      </c>
      <c r="E401" s="363">
        <v>15.95</v>
      </c>
      <c r="F401" s="363">
        <f>C401*(E401-D401)</f>
        <v>-5410.6924000000108</v>
      </c>
      <c r="G401" s="363">
        <f>IF(C401=0, 0,D401*C401)</f>
        <v>103949.79240000001</v>
      </c>
      <c r="H401" s="364">
        <f>IF(C401=0, D401, (E401-D401)/D401)</f>
        <v>-5.2051016890727435E-2</v>
      </c>
      <c r="I401" s="363"/>
    </row>
    <row r="402" spans="2:9" x14ac:dyDescent="0.25">
      <c r="B402" s="620">
        <v>42611</v>
      </c>
      <c r="C402" s="362">
        <v>6178</v>
      </c>
      <c r="D402" s="621">
        <v>16.825800000000001</v>
      </c>
      <c r="E402" s="363">
        <v>15.99</v>
      </c>
      <c r="F402" s="363">
        <f t="shared" ref="F402:F407" si="175">C402*(E402-D402)</f>
        <v>-5163.5724000000046</v>
      </c>
      <c r="G402" s="363">
        <f t="shared" ref="G402:G407" si="176">IF(C402=0, 0,D402*C402)</f>
        <v>103949.79240000001</v>
      </c>
      <c r="H402" s="364">
        <f t="shared" ref="H402:H407" si="177">IF(C402=0, D402, (E402-D402)/D402)</f>
        <v>-4.9673715365688452E-2</v>
      </c>
      <c r="I402" s="363"/>
    </row>
    <row r="403" spans="2:9" x14ac:dyDescent="0.25">
      <c r="B403" s="620">
        <v>42612</v>
      </c>
      <c r="C403" s="362">
        <v>6678</v>
      </c>
      <c r="D403" s="621">
        <v>16.739999999999998</v>
      </c>
      <c r="E403" s="363">
        <v>15.55</v>
      </c>
      <c r="F403" s="443">
        <f t="shared" si="175"/>
        <v>-7946.8199999999852</v>
      </c>
      <c r="G403" s="363">
        <f t="shared" si="176"/>
        <v>111789.71999999999</v>
      </c>
      <c r="H403" s="365">
        <f t="shared" si="177"/>
        <v>-7.1087216248506446E-2</v>
      </c>
      <c r="I403" s="382"/>
    </row>
    <row r="404" spans="2:9" x14ac:dyDescent="0.25">
      <c r="B404" s="620">
        <v>42612</v>
      </c>
      <c r="C404" s="362">
        <v>7178</v>
      </c>
      <c r="D404" s="621">
        <v>16.6571</v>
      </c>
      <c r="E404" s="363">
        <v>15.55</v>
      </c>
      <c r="F404" s="363">
        <f t="shared" si="175"/>
        <v>-7946.7637999999934</v>
      </c>
      <c r="G404" s="363">
        <f t="shared" si="176"/>
        <v>119564.66379999999</v>
      </c>
      <c r="H404" s="364">
        <f t="shared" si="177"/>
        <v>-6.6464150422342369E-2</v>
      </c>
      <c r="I404" s="363"/>
    </row>
    <row r="405" spans="2:9" x14ac:dyDescent="0.25">
      <c r="B405" s="620">
        <v>42613</v>
      </c>
      <c r="C405" s="362">
        <v>7678</v>
      </c>
      <c r="D405" s="621">
        <v>16.565200000000001</v>
      </c>
      <c r="E405" s="363">
        <v>15.02</v>
      </c>
      <c r="F405" s="363">
        <f t="shared" si="175"/>
        <v>-11864.04560000001</v>
      </c>
      <c r="G405" s="363">
        <f t="shared" si="176"/>
        <v>127187.60560000001</v>
      </c>
      <c r="H405" s="364">
        <f t="shared" si="177"/>
        <v>-9.3279887957887692E-2</v>
      </c>
      <c r="I405" s="363" t="s">
        <v>257</v>
      </c>
    </row>
    <row r="406" spans="2:9" x14ac:dyDescent="0.25">
      <c r="B406" s="620">
        <v>42613</v>
      </c>
      <c r="C406" s="362">
        <v>8178</v>
      </c>
      <c r="D406" s="621">
        <v>16.474399999999999</v>
      </c>
      <c r="E406" s="363">
        <v>15.02</v>
      </c>
      <c r="F406" s="363">
        <f t="shared" si="175"/>
        <v>-11894.083199999997</v>
      </c>
      <c r="G406" s="363">
        <f t="shared" si="176"/>
        <v>134727.64319999999</v>
      </c>
      <c r="H406" s="364">
        <f t="shared" si="177"/>
        <v>-8.8282426067110162E-2</v>
      </c>
      <c r="I406" s="363" t="s">
        <v>258</v>
      </c>
    </row>
    <row r="407" spans="2:9" ht="15" customHeight="1" x14ac:dyDescent="0.25">
      <c r="B407" s="620">
        <v>42615</v>
      </c>
      <c r="C407" s="362">
        <v>7678</v>
      </c>
      <c r="D407" s="621">
        <v>16.528099999999998</v>
      </c>
      <c r="E407" s="363">
        <v>15.49</v>
      </c>
      <c r="F407" s="363">
        <f t="shared" si="175"/>
        <v>-7970.5317999999861</v>
      </c>
      <c r="G407" s="363">
        <f t="shared" si="176"/>
        <v>126902.75179999998</v>
      </c>
      <c r="H407" s="364">
        <f t="shared" si="177"/>
        <v>-6.2808187268953986E-2</v>
      </c>
      <c r="I407" s="363">
        <v>16.350000000000001</v>
      </c>
    </row>
    <row r="408" spans="2:9" x14ac:dyDescent="0.25">
      <c r="B408" s="620">
        <v>42616</v>
      </c>
      <c r="C408" s="362">
        <v>7678</v>
      </c>
      <c r="D408" s="621">
        <v>16.528099999999998</v>
      </c>
      <c r="E408" s="363">
        <v>15.64</v>
      </c>
      <c r="F408" s="363">
        <f>C408*(E408-D408)</f>
        <v>-6818.8317999999836</v>
      </c>
      <c r="G408" s="363">
        <f>IF(C408=0, 0,D408*C408)</f>
        <v>126902.75179999998</v>
      </c>
      <c r="H408" s="364">
        <f>IF(C408=0, D408, (E408-D408)/D408)</f>
        <v>-5.3732733950060681E-2</v>
      </c>
      <c r="I408" s="363"/>
    </row>
    <row r="409" spans="2:9" x14ac:dyDescent="0.25">
      <c r="B409" s="620">
        <v>42621</v>
      </c>
      <c r="C409" s="362">
        <v>7178</v>
      </c>
      <c r="D409" s="621">
        <v>16.545400000000001</v>
      </c>
      <c r="E409" s="363">
        <v>16.739999999999998</v>
      </c>
      <c r="F409" s="363">
        <f>C409*(E409-D409)</f>
        <v>1396.8387999999832</v>
      </c>
      <c r="G409" s="363">
        <f>IF(C409=0, 0,D409*C409)</f>
        <v>118762.8812</v>
      </c>
      <c r="H409" s="364">
        <f>IF(C409=0, D409, (E409-D409)/D409)</f>
        <v>1.1761577235968768E-2</v>
      </c>
      <c r="I409" s="363"/>
    </row>
    <row r="410" spans="2:9" x14ac:dyDescent="0.25">
      <c r="B410" s="620">
        <v>42621</v>
      </c>
      <c r="C410" s="383">
        <v>6678</v>
      </c>
      <c r="D410" s="622">
        <v>16.532299999999999</v>
      </c>
      <c r="E410" s="363">
        <v>16.739999999999998</v>
      </c>
      <c r="F410" s="363">
        <f>C410*(E410-D410)</f>
        <v>1387.0205999999941</v>
      </c>
      <c r="G410" s="363">
        <f>IF(C410=0, 0,D410*C410)</f>
        <v>110402.6994</v>
      </c>
      <c r="H410" s="364">
        <f>IF(C410=0, D410, (E410-D410)/D410)</f>
        <v>1.256328520532528E-2</v>
      </c>
      <c r="I410" s="363"/>
    </row>
    <row r="411" spans="2:9" x14ac:dyDescent="0.25">
      <c r="B411" s="620">
        <v>42621</v>
      </c>
      <c r="C411" s="362">
        <v>6458</v>
      </c>
      <c r="D411" s="621">
        <v>16.524263999999999</v>
      </c>
      <c r="E411" s="363">
        <v>16.739999999999998</v>
      </c>
      <c r="F411" s="363">
        <f>C411*(E411-D411)</f>
        <v>1393.2230879999981</v>
      </c>
      <c r="G411" s="363">
        <f>IF(C411=0, 0,D411*C411)</f>
        <v>106713.69691199998</v>
      </c>
      <c r="H411" s="364">
        <f>IF(C411=0, D411, (E411-D411)/D411)</f>
        <v>1.3055710075801242E-2</v>
      </c>
      <c r="I411" s="363"/>
    </row>
    <row r="412" spans="2:9" x14ac:dyDescent="0.25">
      <c r="B412" s="620">
        <v>42622</v>
      </c>
      <c r="C412" s="362">
        <v>7178</v>
      </c>
      <c r="D412" s="621">
        <v>16.477945999999999</v>
      </c>
      <c r="E412" s="363">
        <v>15.67</v>
      </c>
      <c r="F412" s="363">
        <f>C412*(E412-D412)</f>
        <v>-5799.4363879999955</v>
      </c>
      <c r="G412" s="363">
        <f>IF(C412=0, 0,D412*C412)</f>
        <v>118278.696388</v>
      </c>
      <c r="H412" s="364">
        <f>IF(C412=0, D412, (E412-D412)/D412)</f>
        <v>-4.9031960658203359E-2</v>
      </c>
      <c r="I412" s="363"/>
    </row>
    <row r="413" spans="2:9" x14ac:dyDescent="0.25">
      <c r="B413" s="620">
        <v>42622</v>
      </c>
      <c r="C413" s="362">
        <v>7678</v>
      </c>
      <c r="D413" s="621">
        <v>16.430541999999999</v>
      </c>
      <c r="E413" s="363">
        <v>15.67</v>
      </c>
      <c r="F413" s="363">
        <f t="shared" ref="F413:F419" si="178">C413*(E413-D413)</f>
        <v>-5839.4414759999936</v>
      </c>
      <c r="G413" s="363">
        <f t="shared" ref="G413:G419" si="179">IF(C413=0, 0,D413*C413)</f>
        <v>126153.70147599999</v>
      </c>
      <c r="H413" s="364">
        <f t="shared" ref="H413:H419" si="180">IF(C413=0, D413, (E413-D413)/D413)</f>
        <v>-4.6288308687564853E-2</v>
      </c>
      <c r="I413" s="363">
        <v>16.350000000000001</v>
      </c>
    </row>
    <row r="414" spans="2:9" ht="15" customHeight="1" x14ac:dyDescent="0.25">
      <c r="B414" s="620">
        <v>42625</v>
      </c>
      <c r="C414" s="383">
        <v>7678</v>
      </c>
      <c r="D414" s="622">
        <v>16.412330000000001</v>
      </c>
      <c r="E414" s="363">
        <v>15.47</v>
      </c>
      <c r="F414" s="363">
        <f t="shared" si="178"/>
        <v>-7235.2097400000011</v>
      </c>
      <c r="G414" s="363">
        <f t="shared" si="179"/>
        <v>126013.86974000001</v>
      </c>
      <c r="H414" s="364">
        <f t="shared" si="180"/>
        <v>-5.7415979327737135E-2</v>
      </c>
      <c r="I414" s="363"/>
    </row>
    <row r="415" spans="2:9" x14ac:dyDescent="0.25">
      <c r="B415" s="620">
        <v>42625</v>
      </c>
      <c r="C415" s="383">
        <v>7678</v>
      </c>
      <c r="D415" s="622">
        <v>16.355817999999999</v>
      </c>
      <c r="E415" s="363">
        <v>15.47</v>
      </c>
      <c r="F415" s="363">
        <f t="shared" si="178"/>
        <v>-6801.3106039999893</v>
      </c>
      <c r="G415" s="363">
        <f t="shared" si="179"/>
        <v>125579.970604</v>
      </c>
      <c r="H415" s="364">
        <f t="shared" si="180"/>
        <v>-5.4159198885680847E-2</v>
      </c>
      <c r="I415" s="363" t="s">
        <v>272</v>
      </c>
    </row>
    <row r="416" spans="2:9" x14ac:dyDescent="0.25">
      <c r="B416" s="620">
        <v>42626</v>
      </c>
      <c r="C416" s="362">
        <v>8278</v>
      </c>
      <c r="D416" s="621">
        <v>16.25066</v>
      </c>
      <c r="E416" s="363">
        <v>14.34</v>
      </c>
      <c r="F416" s="363">
        <f t="shared" si="178"/>
        <v>-15816.44348</v>
      </c>
      <c r="G416" s="363">
        <f t="shared" si="179"/>
        <v>134522.96348000001</v>
      </c>
      <c r="H416" s="365">
        <f t="shared" si="180"/>
        <v>-0.11757430159759666</v>
      </c>
      <c r="I416" s="363"/>
    </row>
    <row r="417" spans="2:9" x14ac:dyDescent="0.25">
      <c r="B417" s="620">
        <v>42626</v>
      </c>
      <c r="C417" s="362">
        <v>8678</v>
      </c>
      <c r="D417" s="621">
        <v>16.18149</v>
      </c>
      <c r="E417" s="363">
        <v>14.34</v>
      </c>
      <c r="F417" s="363">
        <f t="shared" si="178"/>
        <v>-15980.450220000002</v>
      </c>
      <c r="G417" s="363">
        <f t="shared" si="179"/>
        <v>140422.97021999999</v>
      </c>
      <c r="H417" s="365">
        <f t="shared" si="180"/>
        <v>-0.11380225183218605</v>
      </c>
      <c r="I417" s="363"/>
    </row>
    <row r="418" spans="2:9" x14ac:dyDescent="0.25">
      <c r="B418" s="620">
        <v>42626</v>
      </c>
      <c r="C418" s="362">
        <v>8978</v>
      </c>
      <c r="D418" s="621">
        <v>16.124635000000001</v>
      </c>
      <c r="E418" s="363">
        <v>14.34</v>
      </c>
      <c r="F418" s="363">
        <f t="shared" si="178"/>
        <v>-16022.453030000013</v>
      </c>
      <c r="G418" s="363">
        <f t="shared" si="179"/>
        <v>144766.97303000002</v>
      </c>
      <c r="H418" s="365">
        <f t="shared" si="180"/>
        <v>-0.11067754401882594</v>
      </c>
      <c r="I418" s="363"/>
    </row>
    <row r="419" spans="2:9" x14ac:dyDescent="0.25">
      <c r="B419" s="620">
        <v>42626</v>
      </c>
      <c r="C419" s="362">
        <v>9278</v>
      </c>
      <c r="D419" s="621">
        <v>16.064019999999999</v>
      </c>
      <c r="E419" s="363">
        <v>14.34</v>
      </c>
      <c r="F419" s="363">
        <f t="shared" si="178"/>
        <v>-15995.457559999995</v>
      </c>
      <c r="G419" s="363">
        <f t="shared" si="179"/>
        <v>149041.97756</v>
      </c>
      <c r="H419" s="365">
        <f t="shared" si="180"/>
        <v>-0.10732182853357998</v>
      </c>
      <c r="I419" s="363" t="s">
        <v>273</v>
      </c>
    </row>
    <row r="420" spans="2:9" x14ac:dyDescent="0.25">
      <c r="B420" s="620">
        <v>42627</v>
      </c>
      <c r="C420" s="362">
        <v>9478</v>
      </c>
      <c r="D420" s="621">
        <v>16.020790999999999</v>
      </c>
      <c r="E420" s="363">
        <v>14.01</v>
      </c>
      <c r="F420" s="363">
        <f t="shared" ref="F420:F427" si="181">C420*(E420-D420)</f>
        <v>-19058.277097999995</v>
      </c>
      <c r="G420" s="363">
        <f t="shared" ref="G420:G427" si="182">IF(C420=0, 0,D420*C420)</f>
        <v>151845.05709799999</v>
      </c>
      <c r="H420" s="365">
        <f t="shared" ref="H420:H427" si="183">IF(C420=0, D420, (E420-D420)/D420)</f>
        <v>-0.1255113433537707</v>
      </c>
      <c r="I420" s="363"/>
    </row>
    <row r="421" spans="2:9" x14ac:dyDescent="0.25">
      <c r="B421" s="620">
        <v>42628</v>
      </c>
      <c r="C421" s="362">
        <v>9478</v>
      </c>
      <c r="D421" s="621">
        <v>16.015726999999998</v>
      </c>
      <c r="E421" s="363">
        <v>14.26</v>
      </c>
      <c r="F421" s="363">
        <f t="shared" si="181"/>
        <v>-16640.780505999985</v>
      </c>
      <c r="G421" s="363">
        <f t="shared" si="182"/>
        <v>151797.06050599998</v>
      </c>
      <c r="H421" s="365">
        <f t="shared" si="183"/>
        <v>-0.1096251827968845</v>
      </c>
      <c r="I421" s="363"/>
    </row>
    <row r="422" spans="2:9" x14ac:dyDescent="0.25">
      <c r="B422" s="620">
        <v>42629</v>
      </c>
      <c r="C422" s="362">
        <v>9478</v>
      </c>
      <c r="D422" s="621">
        <v>16.015726999999998</v>
      </c>
      <c r="E422" s="363">
        <v>14.24</v>
      </c>
      <c r="F422" s="363">
        <f t="shared" si="181"/>
        <v>-16830.340505999982</v>
      </c>
      <c r="G422" s="363">
        <f t="shared" si="182"/>
        <v>151797.06050599998</v>
      </c>
      <c r="H422" s="365">
        <f t="shared" si="183"/>
        <v>-0.1108739553315312</v>
      </c>
      <c r="I422" s="363"/>
    </row>
    <row r="423" spans="2:9" x14ac:dyDescent="0.25">
      <c r="B423" s="620">
        <v>42632</v>
      </c>
      <c r="C423" s="362">
        <v>9678</v>
      </c>
      <c r="D423" s="621">
        <v>15.975311</v>
      </c>
      <c r="E423" s="363">
        <v>14.09</v>
      </c>
      <c r="F423" s="363">
        <f t="shared" si="181"/>
        <v>-18246.039857999996</v>
      </c>
      <c r="G423" s="363">
        <f t="shared" si="182"/>
        <v>154609.05985799999</v>
      </c>
      <c r="H423" s="364">
        <f t="shared" si="183"/>
        <v>-0.11801404054043141</v>
      </c>
      <c r="I423" s="363"/>
    </row>
    <row r="424" spans="2:9" ht="15" customHeight="1" x14ac:dyDescent="0.25">
      <c r="B424" s="620">
        <v>42633</v>
      </c>
      <c r="C424" s="362">
        <v>9878</v>
      </c>
      <c r="D424" s="621">
        <v>15.937544000000001</v>
      </c>
      <c r="E424" s="363">
        <v>13.87</v>
      </c>
      <c r="F424" s="363">
        <f t="shared" si="181"/>
        <v>-20423.199632000014</v>
      </c>
      <c r="G424" s="363">
        <f t="shared" si="182"/>
        <v>157431.05963200002</v>
      </c>
      <c r="H424" s="364">
        <f t="shared" si="183"/>
        <v>-0.12972789282966068</v>
      </c>
      <c r="I424" s="363"/>
    </row>
    <row r="425" spans="2:9" x14ac:dyDescent="0.25">
      <c r="B425" s="620">
        <v>42633</v>
      </c>
      <c r="C425" s="362">
        <v>10000</v>
      </c>
      <c r="D425" s="621">
        <v>15.915126000000001</v>
      </c>
      <c r="E425" s="363">
        <v>13.87</v>
      </c>
      <c r="F425" s="363">
        <f t="shared" si="181"/>
        <v>-20451.260000000017</v>
      </c>
      <c r="G425" s="363">
        <f t="shared" si="182"/>
        <v>159151.26</v>
      </c>
      <c r="H425" s="364">
        <f t="shared" si="183"/>
        <v>-0.12850203008132022</v>
      </c>
      <c r="I425" s="363"/>
    </row>
    <row r="426" spans="2:9" x14ac:dyDescent="0.25">
      <c r="B426" s="620">
        <v>42634</v>
      </c>
      <c r="C426" s="362">
        <v>9678</v>
      </c>
      <c r="D426" s="621">
        <v>15.969538999999999</v>
      </c>
      <c r="E426" s="363">
        <v>14.65</v>
      </c>
      <c r="F426" s="363">
        <f t="shared" si="181"/>
        <v>-12770.498441999989</v>
      </c>
      <c r="G426" s="363">
        <f t="shared" si="182"/>
        <v>154553.19844199999</v>
      </c>
      <c r="H426" s="364">
        <f t="shared" si="183"/>
        <v>-8.2628496664806608E-2</v>
      </c>
      <c r="I426" s="363"/>
    </row>
    <row r="427" spans="2:9" x14ac:dyDescent="0.25">
      <c r="B427" s="620">
        <v>42634</v>
      </c>
      <c r="C427" s="362">
        <v>9278</v>
      </c>
      <c r="D427" s="621">
        <v>16.026872999999998</v>
      </c>
      <c r="E427" s="363">
        <v>14.65</v>
      </c>
      <c r="F427" s="363">
        <f t="shared" si="181"/>
        <v>-12774.627693999981</v>
      </c>
      <c r="G427" s="363">
        <f t="shared" si="182"/>
        <v>148697.32769399998</v>
      </c>
      <c r="H427" s="364">
        <f t="shared" si="183"/>
        <v>-8.5910270830747718E-2</v>
      </c>
      <c r="I427" s="363">
        <v>16</v>
      </c>
    </row>
    <row r="428" spans="2:9" x14ac:dyDescent="0.25">
      <c r="B428" s="620">
        <v>42635</v>
      </c>
      <c r="C428" s="362">
        <v>9278</v>
      </c>
      <c r="D428" s="621">
        <v>16.026872999999998</v>
      </c>
      <c r="E428" s="363">
        <v>14.87</v>
      </c>
      <c r="F428" s="363">
        <f t="shared" ref="F428:F439" si="184">C428*(E428-D428)</f>
        <v>-10733.467693999992</v>
      </c>
      <c r="G428" s="363">
        <f t="shared" ref="G428:G439" si="185">IF(C428=0, 0,D428*C428)</f>
        <v>148697.32769399998</v>
      </c>
      <c r="H428" s="364">
        <f t="shared" ref="H428:H439" si="186">IF(C428=0, D428, (E428-D428)/D428)</f>
        <v>-7.2183326092369937E-2</v>
      </c>
      <c r="I428" s="363"/>
    </row>
    <row r="429" spans="2:9" x14ac:dyDescent="0.25">
      <c r="B429" s="620">
        <v>42636</v>
      </c>
      <c r="C429" s="362">
        <v>9478</v>
      </c>
      <c r="D429" s="621">
        <v>15.992122</v>
      </c>
      <c r="E429" s="363">
        <v>14.49</v>
      </c>
      <c r="F429" s="363">
        <f t="shared" si="184"/>
        <v>-14237.112315999999</v>
      </c>
      <c r="G429" s="363">
        <f t="shared" si="185"/>
        <v>151573.33231600001</v>
      </c>
      <c r="H429" s="364">
        <f t="shared" si="186"/>
        <v>-9.39288732289561E-2</v>
      </c>
      <c r="I429" s="363"/>
    </row>
    <row r="430" spans="2:9" x14ac:dyDescent="0.25">
      <c r="B430" s="620">
        <v>42639</v>
      </c>
      <c r="C430" s="362">
        <v>9278</v>
      </c>
      <c r="D430" s="621">
        <v>16.019549999999999</v>
      </c>
      <c r="E430" s="363">
        <v>14.41</v>
      </c>
      <c r="F430" s="363">
        <f t="shared" si="184"/>
        <v>-14933.404899999989</v>
      </c>
      <c r="G430" s="363">
        <f t="shared" si="185"/>
        <v>148629.38489999998</v>
      </c>
      <c r="H430" s="364">
        <f t="shared" si="186"/>
        <v>-0.10047410819904422</v>
      </c>
      <c r="I430" s="363">
        <v>16</v>
      </c>
    </row>
    <row r="431" spans="2:9" ht="15" customHeight="1" x14ac:dyDescent="0.25">
      <c r="B431" s="620">
        <v>42639</v>
      </c>
      <c r="C431" s="362">
        <v>9478</v>
      </c>
      <c r="D431" s="621">
        <v>15.987468</v>
      </c>
      <c r="E431" s="363">
        <v>14.41</v>
      </c>
      <c r="F431" s="363">
        <f t="shared" si="184"/>
        <v>-14951.241703999996</v>
      </c>
      <c r="G431" s="363">
        <f t="shared" si="185"/>
        <v>151529.221704</v>
      </c>
      <c r="H431" s="364">
        <f t="shared" si="186"/>
        <v>-9.8669032519721048E-2</v>
      </c>
      <c r="I431" s="363"/>
    </row>
    <row r="432" spans="2:9" x14ac:dyDescent="0.25">
      <c r="B432" s="620">
        <v>42639</v>
      </c>
      <c r="C432" s="362">
        <v>9678</v>
      </c>
      <c r="D432" s="621">
        <v>15.954266000000001</v>
      </c>
      <c r="E432" s="363">
        <v>14.41</v>
      </c>
      <c r="F432" s="363">
        <f t="shared" si="184"/>
        <v>-14945.406348000004</v>
      </c>
      <c r="G432" s="363">
        <f t="shared" si="185"/>
        <v>154405.386348</v>
      </c>
      <c r="H432" s="364">
        <f t="shared" si="186"/>
        <v>-9.6793296538994669E-2</v>
      </c>
      <c r="I432" s="363"/>
    </row>
    <row r="433" spans="2:9" x14ac:dyDescent="0.25">
      <c r="B433" s="620">
        <v>42640</v>
      </c>
      <c r="C433" s="362">
        <v>10000</v>
      </c>
      <c r="D433" s="621">
        <v>15.890373</v>
      </c>
      <c r="E433" s="363">
        <v>14.06</v>
      </c>
      <c r="F433" s="363">
        <f t="shared" si="184"/>
        <v>-18303.73</v>
      </c>
      <c r="G433" s="363">
        <f t="shared" si="185"/>
        <v>158903.73000000001</v>
      </c>
      <c r="H433" s="364">
        <f t="shared" si="186"/>
        <v>-0.11518754153851517</v>
      </c>
      <c r="I433" s="363"/>
    </row>
    <row r="434" spans="2:9" x14ac:dyDescent="0.25">
      <c r="B434" s="620">
        <v>42641</v>
      </c>
      <c r="C434" s="362">
        <v>9278</v>
      </c>
      <c r="D434" s="621">
        <v>15.968</v>
      </c>
      <c r="E434" s="363">
        <v>15.18</v>
      </c>
      <c r="F434" s="363">
        <f t="shared" si="184"/>
        <v>-7311.0640000000021</v>
      </c>
      <c r="G434" s="363">
        <f t="shared" si="185"/>
        <v>148151.10399999999</v>
      </c>
      <c r="H434" s="364">
        <f t="shared" si="186"/>
        <v>-4.9348697394789594E-2</v>
      </c>
      <c r="I434" s="363" t="s">
        <v>285</v>
      </c>
    </row>
    <row r="435" spans="2:9" x14ac:dyDescent="0.25">
      <c r="B435" s="620">
        <v>42641</v>
      </c>
      <c r="C435" s="362">
        <v>8978</v>
      </c>
      <c r="D435" s="621">
        <v>15.991466000000001</v>
      </c>
      <c r="E435" s="363">
        <v>15.18</v>
      </c>
      <c r="F435" s="363">
        <f t="shared" si="184"/>
        <v>-7285.3417480000098</v>
      </c>
      <c r="G435" s="363">
        <f t="shared" si="185"/>
        <v>143571.38174800001</v>
      </c>
      <c r="H435" s="364">
        <f t="shared" si="186"/>
        <v>-5.0743690415875634E-2</v>
      </c>
      <c r="I435" s="363"/>
    </row>
    <row r="436" spans="2:9" x14ac:dyDescent="0.25">
      <c r="B436" s="620">
        <v>42642</v>
      </c>
      <c r="C436" s="362">
        <v>8678</v>
      </c>
      <c r="D436" s="621">
        <v>16.016100000000002</v>
      </c>
      <c r="E436" s="363">
        <v>15.9</v>
      </c>
      <c r="F436" s="363">
        <f t="shared" si="184"/>
        <v>-1007.5158000000105</v>
      </c>
      <c r="G436" s="363">
        <f t="shared" si="185"/>
        <v>138987.71580000001</v>
      </c>
      <c r="H436" s="364">
        <f t="shared" si="186"/>
        <v>-7.2489557382884214E-3</v>
      </c>
      <c r="I436" s="363"/>
    </row>
    <row r="437" spans="2:9" ht="15" customHeight="1" x14ac:dyDescent="0.25">
      <c r="B437" s="620">
        <v>42642</v>
      </c>
      <c r="C437" s="362">
        <v>7978</v>
      </c>
      <c r="D437" s="621">
        <v>16.036825</v>
      </c>
      <c r="E437" s="363">
        <v>15.9</v>
      </c>
      <c r="F437" s="363">
        <f t="shared" si="184"/>
        <v>-1091.5898499999998</v>
      </c>
      <c r="G437" s="363">
        <f t="shared" si="185"/>
        <v>127941.78985</v>
      </c>
      <c r="H437" s="364">
        <f t="shared" si="186"/>
        <v>-8.5319257396648009E-3</v>
      </c>
      <c r="I437" s="363"/>
    </row>
    <row r="438" spans="2:9" x14ac:dyDescent="0.25">
      <c r="B438" s="620">
        <v>42642</v>
      </c>
      <c r="C438" s="362">
        <v>7764</v>
      </c>
      <c r="D438" s="621">
        <v>16.038399999999999</v>
      </c>
      <c r="E438" s="363">
        <v>15.9</v>
      </c>
      <c r="F438" s="363">
        <f t="shared" si="184"/>
        <v>-1074.5375999999919</v>
      </c>
      <c r="G438" s="363">
        <f t="shared" si="185"/>
        <v>124522.1376</v>
      </c>
      <c r="H438" s="364">
        <f t="shared" si="186"/>
        <v>-8.6292897047086353E-3</v>
      </c>
      <c r="I438" s="363"/>
    </row>
    <row r="439" spans="2:9" x14ac:dyDescent="0.25">
      <c r="B439" s="620">
        <v>42642</v>
      </c>
      <c r="C439" s="362">
        <v>8178</v>
      </c>
      <c r="D439" s="621">
        <v>16.019235999999999</v>
      </c>
      <c r="E439" s="363">
        <v>15.9</v>
      </c>
      <c r="F439" s="363">
        <f t="shared" si="184"/>
        <v>-975.11200799999187</v>
      </c>
      <c r="G439" s="363">
        <f t="shared" si="185"/>
        <v>131005.31200799999</v>
      </c>
      <c r="H439" s="364">
        <f t="shared" si="186"/>
        <v>-7.4433012910228059E-3</v>
      </c>
      <c r="I439" s="363" t="s">
        <v>286</v>
      </c>
    </row>
    <row r="440" spans="2:9" x14ac:dyDescent="0.25">
      <c r="B440" s="620">
        <v>42643</v>
      </c>
      <c r="C440" s="362">
        <v>8178</v>
      </c>
      <c r="D440" s="621">
        <v>16.019235999999999</v>
      </c>
      <c r="E440" s="363">
        <v>15.81</v>
      </c>
      <c r="F440" s="363">
        <f>C440*(E440-D440)</f>
        <v>-1711.1320079999907</v>
      </c>
      <c r="G440" s="363">
        <f>IF(C440=0, 0,D440*C440)</f>
        <v>131005.31200799999</v>
      </c>
      <c r="H440" s="364">
        <f>IF(C440=0, D440, (E440-D440)/D440)</f>
        <v>-1.3061546755413234E-2</v>
      </c>
      <c r="I440" s="363"/>
    </row>
    <row r="441" spans="2:9" x14ac:dyDescent="0.25">
      <c r="B441" s="620">
        <v>42646</v>
      </c>
      <c r="C441" s="362">
        <v>8178</v>
      </c>
      <c r="D441" s="621">
        <v>16.019235999999999</v>
      </c>
      <c r="E441" s="363">
        <v>15.98</v>
      </c>
      <c r="F441" s="363">
        <f t="shared" ref="F441:F450" si="187">C441*(E441-D441)</f>
        <v>-320.8720079999913</v>
      </c>
      <c r="G441" s="363">
        <f t="shared" ref="G441:G450" si="188">IF(C441=0, 0,D441*C441)</f>
        <v>131005.31200799999</v>
      </c>
      <c r="H441" s="364">
        <f t="shared" ref="H441:H450" si="189">IF(C441=0, D441, (E441-D441)/D441)</f>
        <v>-2.4493053226757469E-3</v>
      </c>
      <c r="I441" s="363"/>
    </row>
    <row r="442" spans="2:9" x14ac:dyDescent="0.25">
      <c r="B442" s="620">
        <v>42647</v>
      </c>
      <c r="C442" s="362">
        <v>8678</v>
      </c>
      <c r="D442" s="621">
        <v>16.010061</v>
      </c>
      <c r="E442" s="363">
        <v>15.63</v>
      </c>
      <c r="F442" s="363">
        <f t="shared" si="187"/>
        <v>-3298.169357999996</v>
      </c>
      <c r="G442" s="363">
        <f t="shared" si="188"/>
        <v>138935.309358</v>
      </c>
      <c r="H442" s="364">
        <f t="shared" si="189"/>
        <v>-2.3738885192255015E-2</v>
      </c>
      <c r="I442" s="363"/>
    </row>
    <row r="443" spans="2:9" x14ac:dyDescent="0.25">
      <c r="B443" s="620">
        <v>42647</v>
      </c>
      <c r="C443" s="362">
        <v>9178</v>
      </c>
      <c r="D443" s="621">
        <v>15.988811</v>
      </c>
      <c r="E443" s="363">
        <v>15.63</v>
      </c>
      <c r="F443" s="363">
        <f t="shared" si="187"/>
        <v>-3293.1673579999938</v>
      </c>
      <c r="G443" s="363">
        <f t="shared" si="188"/>
        <v>146745.30735799999</v>
      </c>
      <c r="H443" s="364">
        <f t="shared" si="189"/>
        <v>-2.2441381038277287E-2</v>
      </c>
      <c r="I443" s="363"/>
    </row>
    <row r="444" spans="2:9" x14ac:dyDescent="0.25">
      <c r="B444" s="620">
        <v>42648</v>
      </c>
      <c r="C444" s="362">
        <v>8178</v>
      </c>
      <c r="D444" s="621">
        <v>15.977725</v>
      </c>
      <c r="E444" s="363">
        <v>16.12</v>
      </c>
      <c r="F444" s="363">
        <f t="shared" si="187"/>
        <v>1163.524950000012</v>
      </c>
      <c r="G444" s="363">
        <f t="shared" si="188"/>
        <v>130665.83504999999</v>
      </c>
      <c r="H444" s="364">
        <f t="shared" si="189"/>
        <v>8.904584351026288E-3</v>
      </c>
      <c r="I444" s="363">
        <v>15.75</v>
      </c>
    </row>
    <row r="445" spans="2:9" x14ac:dyDescent="0.25">
      <c r="B445" s="620">
        <v>42648</v>
      </c>
      <c r="C445" s="383">
        <v>7678</v>
      </c>
      <c r="D445" s="622">
        <v>15.951529000000001</v>
      </c>
      <c r="E445" s="363">
        <v>16.12</v>
      </c>
      <c r="F445" s="363">
        <f t="shared" si="187"/>
        <v>1293.5203380000021</v>
      </c>
      <c r="G445" s="363">
        <f t="shared" si="188"/>
        <v>122475.839662</v>
      </c>
      <c r="H445" s="364">
        <f t="shared" si="189"/>
        <v>1.0561432700275958E-2</v>
      </c>
      <c r="I445" s="363" t="s">
        <v>290</v>
      </c>
    </row>
    <row r="446" spans="2:9" x14ac:dyDescent="0.25">
      <c r="B446" s="620">
        <v>42649</v>
      </c>
      <c r="C446" s="362">
        <v>8678</v>
      </c>
      <c r="D446" s="621">
        <v>15.941579000000001</v>
      </c>
      <c r="E446" s="363">
        <v>16.079999999999998</v>
      </c>
      <c r="F446" s="363">
        <f t="shared" si="187"/>
        <v>1201.2174379999781</v>
      </c>
      <c r="G446" s="363">
        <f t="shared" si="188"/>
        <v>138341.022562</v>
      </c>
      <c r="H446" s="364">
        <f t="shared" si="189"/>
        <v>8.683016908174369E-3</v>
      </c>
      <c r="I446" s="363"/>
    </row>
    <row r="447" spans="2:9" x14ac:dyDescent="0.25">
      <c r="B447" s="620">
        <v>42650</v>
      </c>
      <c r="C447" s="362">
        <v>8978</v>
      </c>
      <c r="D447" s="621">
        <v>15.935176999999999</v>
      </c>
      <c r="E447" s="363">
        <v>15.56</v>
      </c>
      <c r="F447" s="363">
        <f t="shared" si="187"/>
        <v>-3368.3391059999908</v>
      </c>
      <c r="G447" s="363">
        <f t="shared" si="188"/>
        <v>143066.01910599999</v>
      </c>
      <c r="H447" s="364">
        <f t="shared" si="189"/>
        <v>-2.354394933925108E-2</v>
      </c>
      <c r="I447" s="363"/>
    </row>
    <row r="448" spans="2:9" x14ac:dyDescent="0.25">
      <c r="B448" s="620">
        <v>42650</v>
      </c>
      <c r="C448" s="362">
        <v>9278</v>
      </c>
      <c r="D448" s="621">
        <v>15.923692000000001</v>
      </c>
      <c r="E448" s="363">
        <v>15.56</v>
      </c>
      <c r="F448" s="363">
        <f t="shared" si="187"/>
        <v>-3374.3343760000034</v>
      </c>
      <c r="G448" s="363">
        <f t="shared" si="188"/>
        <v>147740.01437600001</v>
      </c>
      <c r="H448" s="364">
        <f t="shared" si="189"/>
        <v>-2.2839678134945106E-2</v>
      </c>
      <c r="I448" s="363">
        <v>15.8</v>
      </c>
    </row>
    <row r="449" spans="2:9" x14ac:dyDescent="0.25">
      <c r="B449" s="620">
        <v>42653</v>
      </c>
      <c r="C449" s="383">
        <v>9678</v>
      </c>
      <c r="D449" s="622">
        <v>15.9153</v>
      </c>
      <c r="E449" s="363">
        <v>15.72</v>
      </c>
      <c r="F449" s="363">
        <f t="shared" si="187"/>
        <v>-1890.1133999999961</v>
      </c>
      <c r="G449" s="363">
        <f t="shared" si="188"/>
        <v>154028.27340000001</v>
      </c>
      <c r="H449" s="364">
        <f t="shared" si="189"/>
        <v>-1.2271210721758281E-2</v>
      </c>
      <c r="I449" s="363"/>
    </row>
    <row r="450" spans="2:9" x14ac:dyDescent="0.25">
      <c r="B450" s="620">
        <v>42661</v>
      </c>
      <c r="C450" s="383">
        <v>10000</v>
      </c>
      <c r="D450" s="622">
        <v>15.901258</v>
      </c>
      <c r="E450" s="363">
        <v>14.2</v>
      </c>
      <c r="F450" s="363">
        <f t="shared" si="187"/>
        <v>-17012.580000000009</v>
      </c>
      <c r="G450" s="363">
        <f t="shared" si="188"/>
        <v>159012.58000000002</v>
      </c>
      <c r="H450" s="364">
        <f t="shared" si="189"/>
        <v>-0.10698889358313669</v>
      </c>
      <c r="I450" s="363"/>
    </row>
    <row r="451" spans="2:9" x14ac:dyDescent="0.25">
      <c r="B451" s="620">
        <v>42663</v>
      </c>
      <c r="C451" s="362">
        <v>10000</v>
      </c>
      <c r="D451" s="621">
        <v>15.901258</v>
      </c>
      <c r="E451" s="363">
        <v>14.7</v>
      </c>
      <c r="F451" s="363">
        <f>C451*(E451-D451)</f>
        <v>-12012.580000000011</v>
      </c>
      <c r="G451" s="363">
        <f>IF(C451=0, 0,D451*C451)</f>
        <v>159012.58000000002</v>
      </c>
      <c r="H451" s="365">
        <f>IF(C451=0, D451, (E451-D451)/D451)</f>
        <v>-7.5544840540289399E-2</v>
      </c>
      <c r="I451" s="363"/>
    </row>
    <row r="452" spans="2:9" x14ac:dyDescent="0.25">
      <c r="B452" s="620">
        <v>42668</v>
      </c>
      <c r="C452" s="362">
        <v>11000</v>
      </c>
      <c r="D452" s="621">
        <v>15.74728</v>
      </c>
      <c r="E452" s="363">
        <v>14.18</v>
      </c>
      <c r="F452" s="363">
        <f>C452*(E452-D452)</f>
        <v>-17240.080000000002</v>
      </c>
      <c r="G452" s="363">
        <f>IF(C452=0, 0,D452*C452)</f>
        <v>173220.08</v>
      </c>
      <c r="H452" s="365">
        <f>IF(C452=0, D452, (E452-D452)/D452)</f>
        <v>-9.9527029429844413E-2</v>
      </c>
      <c r="I452" s="363"/>
    </row>
    <row r="453" spans="2:9" x14ac:dyDescent="0.25">
      <c r="B453" s="620">
        <v>42670</v>
      </c>
      <c r="C453" s="362">
        <v>11500</v>
      </c>
      <c r="D453" s="621">
        <v>15.679137000000001</v>
      </c>
      <c r="E453" s="363">
        <v>13.95</v>
      </c>
      <c r="F453" s="363">
        <f>C453*(E453-D453)</f>
        <v>-19885.075500000017</v>
      </c>
      <c r="G453" s="363">
        <f>IF(C453=0, 0,D453*C453)</f>
        <v>180310.07550000001</v>
      </c>
      <c r="H453" s="365">
        <f>IF(C453=0, D453, (E453-D453)/D453)</f>
        <v>-0.11028266415428357</v>
      </c>
      <c r="I453" s="363"/>
    </row>
    <row r="454" spans="2:9" x14ac:dyDescent="0.25">
      <c r="B454" s="620">
        <v>42670</v>
      </c>
      <c r="C454" s="362">
        <v>12000</v>
      </c>
      <c r="D454" s="621">
        <v>15.6113</v>
      </c>
      <c r="E454" s="363">
        <v>13.95</v>
      </c>
      <c r="F454" s="363">
        <f t="shared" ref="F454:F461" si="190">C454*(E454-D454)</f>
        <v>-19935.600000000009</v>
      </c>
      <c r="G454" s="363">
        <f t="shared" ref="G454:G461" si="191">IF(C454=0, 0,D454*C454)</f>
        <v>187335.6</v>
      </c>
      <c r="H454" s="365">
        <f t="shared" ref="H454:H461" si="192">IF(C454=0, D454, (E454-D454)/D454)</f>
        <v>-0.10641650599245422</v>
      </c>
      <c r="I454" s="363"/>
    </row>
    <row r="455" spans="2:9" x14ac:dyDescent="0.25">
      <c r="B455" s="620">
        <v>42670</v>
      </c>
      <c r="C455" s="362">
        <v>12500</v>
      </c>
      <c r="D455" s="621">
        <v>15.542006000000001</v>
      </c>
      <c r="E455" s="363">
        <v>13.95</v>
      </c>
      <c r="F455" s="363">
        <f t="shared" si="190"/>
        <v>-19900.075000000015</v>
      </c>
      <c r="G455" s="363">
        <f t="shared" si="191"/>
        <v>194275.07500000001</v>
      </c>
      <c r="H455" s="365">
        <f t="shared" si="192"/>
        <v>-0.10243246592492637</v>
      </c>
      <c r="I455" s="363"/>
    </row>
    <row r="456" spans="2:9" x14ac:dyDescent="0.25">
      <c r="B456" s="620">
        <v>42671</v>
      </c>
      <c r="C456" s="362">
        <v>12500</v>
      </c>
      <c r="D456" s="621">
        <v>15.536431</v>
      </c>
      <c r="E456" s="363">
        <v>13.72</v>
      </c>
      <c r="F456" s="363">
        <f t="shared" si="190"/>
        <v>-22705.387499999997</v>
      </c>
      <c r="G456" s="363">
        <f t="shared" si="191"/>
        <v>194205.38750000001</v>
      </c>
      <c r="H456" s="365">
        <f t="shared" si="192"/>
        <v>-0.11691430290521676</v>
      </c>
      <c r="I456" s="363"/>
    </row>
    <row r="457" spans="2:9" x14ac:dyDescent="0.25">
      <c r="B457" s="620">
        <v>42674</v>
      </c>
      <c r="C457" s="362">
        <v>12500</v>
      </c>
      <c r="D457" s="621">
        <v>15.5313</v>
      </c>
      <c r="E457" s="363">
        <v>13.18</v>
      </c>
      <c r="F457" s="363">
        <f t="shared" si="190"/>
        <v>-29391.250000000004</v>
      </c>
      <c r="G457" s="363">
        <f t="shared" si="191"/>
        <v>194141.25</v>
      </c>
      <c r="H457" s="365">
        <f t="shared" si="192"/>
        <v>-0.15139106192012261</v>
      </c>
      <c r="I457" s="363"/>
    </row>
    <row r="458" spans="2:9" ht="15" customHeight="1" x14ac:dyDescent="0.25">
      <c r="B458" s="620">
        <v>42676</v>
      </c>
      <c r="C458" s="362">
        <v>12500</v>
      </c>
      <c r="D458" s="621">
        <v>15.528746</v>
      </c>
      <c r="E458" s="363">
        <v>12.78</v>
      </c>
      <c r="F458" s="363">
        <f t="shared" si="190"/>
        <v>-34359.325000000004</v>
      </c>
      <c r="G458" s="363">
        <f t="shared" si="191"/>
        <v>194109.32500000001</v>
      </c>
      <c r="H458" s="364">
        <f t="shared" si="192"/>
        <v>-0.17701017197396368</v>
      </c>
      <c r="I458" s="363"/>
    </row>
    <row r="459" spans="2:9" x14ac:dyDescent="0.25">
      <c r="B459" s="620">
        <v>42677</v>
      </c>
      <c r="C459" s="362">
        <v>10000</v>
      </c>
      <c r="D459" s="621">
        <v>15.813000000000001</v>
      </c>
      <c r="E459" s="363">
        <v>14.15</v>
      </c>
      <c r="F459" s="363">
        <f t="shared" si="190"/>
        <v>-16630.000000000004</v>
      </c>
      <c r="G459" s="363">
        <f t="shared" si="191"/>
        <v>158130</v>
      </c>
      <c r="H459" s="364">
        <f t="shared" si="192"/>
        <v>-0.10516663504711314</v>
      </c>
      <c r="I459" s="363"/>
    </row>
    <row r="460" spans="2:9" x14ac:dyDescent="0.25">
      <c r="B460" s="620">
        <v>42678</v>
      </c>
      <c r="C460" s="362">
        <v>11000</v>
      </c>
      <c r="D460" s="621">
        <v>15.62</v>
      </c>
      <c r="E460" s="363">
        <v>13.69</v>
      </c>
      <c r="F460" s="363">
        <f t="shared" si="190"/>
        <v>-21229.999999999996</v>
      </c>
      <c r="G460" s="363">
        <f t="shared" si="191"/>
        <v>171820</v>
      </c>
      <c r="H460" s="364">
        <f t="shared" si="192"/>
        <v>-0.12355953905249678</v>
      </c>
      <c r="I460" s="363"/>
    </row>
    <row r="461" spans="2:9" x14ac:dyDescent="0.25">
      <c r="B461" s="620">
        <v>42701</v>
      </c>
      <c r="C461" s="362">
        <v>7678</v>
      </c>
      <c r="D461" s="621">
        <v>15.484220000000001</v>
      </c>
      <c r="E461" s="363">
        <v>16.28</v>
      </c>
      <c r="F461" s="363">
        <f t="shared" si="190"/>
        <v>6109.9988400000047</v>
      </c>
      <c r="G461" s="363">
        <f t="shared" si="191"/>
        <v>118887.84116000001</v>
      </c>
      <c r="H461" s="364">
        <f t="shared" si="192"/>
        <v>5.1392966516879801E-2</v>
      </c>
      <c r="I461" s="363" t="s">
        <v>301</v>
      </c>
    </row>
    <row r="462" spans="2:9" x14ac:dyDescent="0.25">
      <c r="B462" s="620">
        <v>42702</v>
      </c>
      <c r="C462" s="362">
        <v>8178</v>
      </c>
      <c r="D462" s="621">
        <v>15.519399999999999</v>
      </c>
      <c r="E462" s="363">
        <v>15.62</v>
      </c>
      <c r="F462" s="363">
        <f t="shared" ref="F462:F479" si="193">C462*(E462-D462)</f>
        <v>822.70680000000016</v>
      </c>
      <c r="G462" s="363">
        <f t="shared" ref="G462:G479" si="194">IF(C462=0, 0,D462*C462)</f>
        <v>126917.6532</v>
      </c>
      <c r="H462" s="364">
        <f t="shared" ref="H462:H479" si="195">IF(C462=0, D462, (E462-D462)/D462)</f>
        <v>6.4822093637640649E-3</v>
      </c>
      <c r="I462" s="363" t="s">
        <v>306</v>
      </c>
    </row>
    <row r="463" spans="2:9" x14ac:dyDescent="0.25">
      <c r="B463" s="620">
        <v>42702</v>
      </c>
      <c r="C463" s="362">
        <v>8678</v>
      </c>
      <c r="D463" s="621">
        <v>15.5304</v>
      </c>
      <c r="E463" s="363">
        <v>15.54</v>
      </c>
      <c r="F463" s="363">
        <f t="shared" si="193"/>
        <v>83.308799999990825</v>
      </c>
      <c r="G463" s="363">
        <f t="shared" si="194"/>
        <v>134772.8112</v>
      </c>
      <c r="H463" s="364">
        <f t="shared" si="195"/>
        <v>6.1814248184199655E-4</v>
      </c>
      <c r="I463" s="363"/>
    </row>
    <row r="464" spans="2:9" x14ac:dyDescent="0.25">
      <c r="B464" s="620">
        <v>42703</v>
      </c>
      <c r="C464" s="362">
        <v>8978</v>
      </c>
      <c r="D464" s="621">
        <v>15.5053</v>
      </c>
      <c r="E464" s="363">
        <v>14.95</v>
      </c>
      <c r="F464" s="363">
        <f t="shared" si="193"/>
        <v>-4985.4834000000074</v>
      </c>
      <c r="G464" s="363">
        <f t="shared" si="194"/>
        <v>139206.5834</v>
      </c>
      <c r="H464" s="364">
        <f t="shared" si="195"/>
        <v>-3.5813560524465882E-2</v>
      </c>
      <c r="I464" s="363"/>
    </row>
    <row r="465" spans="1:10" x14ac:dyDescent="0.25">
      <c r="B465" s="620">
        <v>42704</v>
      </c>
      <c r="C465" s="362">
        <v>5178</v>
      </c>
      <c r="D465" s="621">
        <v>14.3947</v>
      </c>
      <c r="E465" s="363">
        <v>18.059999999999999</v>
      </c>
      <c r="F465" s="363">
        <f t="shared" si="193"/>
        <v>18978.923399999992</v>
      </c>
      <c r="G465" s="363">
        <f t="shared" si="194"/>
        <v>74535.756600000008</v>
      </c>
      <c r="H465" s="364">
        <f t="shared" si="195"/>
        <v>0.25462843963403187</v>
      </c>
      <c r="I465" s="363"/>
    </row>
    <row r="466" spans="1:10" x14ac:dyDescent="0.25">
      <c r="B466" s="620">
        <v>42705</v>
      </c>
      <c r="C466" s="362">
        <v>4678</v>
      </c>
      <c r="D466" s="621">
        <v>13.905799999999999</v>
      </c>
      <c r="E466" s="363">
        <v>17.89</v>
      </c>
      <c r="F466" s="363">
        <f t="shared" si="193"/>
        <v>18638.087600000006</v>
      </c>
      <c r="G466" s="363">
        <f t="shared" si="194"/>
        <v>65051.332399999999</v>
      </c>
      <c r="H466" s="364">
        <f t="shared" si="195"/>
        <v>0.28651354111234173</v>
      </c>
      <c r="I466" s="363"/>
    </row>
    <row r="467" spans="1:10" x14ac:dyDescent="0.25">
      <c r="B467" s="620">
        <v>42705</v>
      </c>
      <c r="C467" s="362">
        <v>5000</v>
      </c>
      <c r="D467" s="621">
        <v>14.1645</v>
      </c>
      <c r="E467" s="363">
        <v>17.89</v>
      </c>
      <c r="F467" s="363">
        <f t="shared" si="193"/>
        <v>18627.5</v>
      </c>
      <c r="G467" s="363">
        <f t="shared" si="194"/>
        <v>70822.5</v>
      </c>
      <c r="H467" s="364">
        <f t="shared" si="195"/>
        <v>0.2630166966712556</v>
      </c>
      <c r="I467" s="363"/>
    </row>
    <row r="468" spans="1:10" x14ac:dyDescent="0.25">
      <c r="B468" s="620">
        <v>42708</v>
      </c>
      <c r="C468" s="362">
        <v>5000</v>
      </c>
      <c r="D468" s="621">
        <v>14.1645</v>
      </c>
      <c r="E468" s="363">
        <v>18.2</v>
      </c>
      <c r="F468" s="363">
        <f t="shared" si="193"/>
        <v>20177.499999999996</v>
      </c>
      <c r="G468" s="363">
        <f t="shared" si="194"/>
        <v>70822.5</v>
      </c>
      <c r="H468" s="364">
        <f t="shared" si="195"/>
        <v>0.28490239683716323</v>
      </c>
      <c r="I468" s="363"/>
    </row>
    <row r="469" spans="1:10" x14ac:dyDescent="0.25">
      <c r="B469" s="620">
        <v>42711</v>
      </c>
      <c r="C469" s="362">
        <v>5000</v>
      </c>
      <c r="D469" s="621">
        <v>14.143514</v>
      </c>
      <c r="E469" s="363">
        <v>18.420000000000002</v>
      </c>
      <c r="F469" s="363">
        <f t="shared" si="193"/>
        <v>21382.430000000011</v>
      </c>
      <c r="G469" s="363">
        <f t="shared" si="194"/>
        <v>70717.569999999992</v>
      </c>
      <c r="H469" s="364">
        <f t="shared" si="195"/>
        <v>0.3023637548631834</v>
      </c>
      <c r="I469" s="363"/>
    </row>
    <row r="470" spans="1:10" x14ac:dyDescent="0.25">
      <c r="B470" s="620">
        <v>42713</v>
      </c>
      <c r="C470" s="362">
        <v>5000</v>
      </c>
      <c r="D470" s="621">
        <v>14.127554</v>
      </c>
      <c r="E470" s="363">
        <v>18.25</v>
      </c>
      <c r="F470" s="363">
        <f t="shared" si="193"/>
        <v>20612.23</v>
      </c>
      <c r="G470" s="363">
        <f t="shared" si="194"/>
        <v>70637.77</v>
      </c>
      <c r="H470" s="364">
        <f t="shared" si="195"/>
        <v>0.29180182216964096</v>
      </c>
      <c r="I470" s="363"/>
    </row>
    <row r="471" spans="1:10" x14ac:dyDescent="0.25">
      <c r="B471" s="620">
        <v>42716</v>
      </c>
      <c r="C471" s="362">
        <v>5000</v>
      </c>
      <c r="D471" s="621">
        <v>14.0276</v>
      </c>
      <c r="E471" s="363">
        <v>18.489999999999998</v>
      </c>
      <c r="F471" s="363">
        <f t="shared" si="193"/>
        <v>22311.999999999993</v>
      </c>
      <c r="G471" s="363">
        <f t="shared" si="194"/>
        <v>70138</v>
      </c>
      <c r="H471" s="364">
        <f t="shared" si="195"/>
        <v>0.3181157147338104</v>
      </c>
      <c r="I471" s="363" t="s">
        <v>185</v>
      </c>
    </row>
    <row r="472" spans="1:10" x14ac:dyDescent="0.25">
      <c r="B472" s="620">
        <v>42718</v>
      </c>
      <c r="C472" s="362">
        <v>5000</v>
      </c>
      <c r="D472" s="621">
        <v>14.025399999999999</v>
      </c>
      <c r="E472" s="363">
        <v>18.2</v>
      </c>
      <c r="F472" s="363">
        <f t="shared" si="193"/>
        <v>20873</v>
      </c>
      <c r="G472" s="363">
        <f t="shared" si="194"/>
        <v>70127</v>
      </c>
      <c r="H472" s="364">
        <f t="shared" si="195"/>
        <v>0.29764569994438661</v>
      </c>
      <c r="I472" s="363">
        <v>13.8</v>
      </c>
    </row>
    <row r="473" spans="1:10" x14ac:dyDescent="0.25">
      <c r="B473" s="620">
        <v>42726</v>
      </c>
      <c r="C473" s="362">
        <v>5000</v>
      </c>
      <c r="D473" s="621">
        <v>14.025399999999999</v>
      </c>
      <c r="E473" s="363">
        <v>18.04</v>
      </c>
      <c r="F473" s="363">
        <f t="shared" si="193"/>
        <v>20073</v>
      </c>
      <c r="G473" s="363">
        <f t="shared" si="194"/>
        <v>70127</v>
      </c>
      <c r="H473" s="364">
        <f t="shared" si="195"/>
        <v>0.28623782565916123</v>
      </c>
      <c r="I473" s="363"/>
    </row>
    <row r="474" spans="1:10" x14ac:dyDescent="0.25">
      <c r="B474" s="620">
        <v>42733</v>
      </c>
      <c r="C474" s="362">
        <v>6000</v>
      </c>
      <c r="D474" s="621">
        <v>14.627558000000001</v>
      </c>
      <c r="E474" s="363">
        <v>17.57</v>
      </c>
      <c r="F474" s="443">
        <f t="shared" si="193"/>
        <v>17654.651999999998</v>
      </c>
      <c r="G474" s="363">
        <f t="shared" si="194"/>
        <v>87765.347999999998</v>
      </c>
      <c r="H474" s="365">
        <f t="shared" si="195"/>
        <v>0.20115743174629694</v>
      </c>
      <c r="I474" s="363"/>
      <c r="J474" s="3"/>
    </row>
    <row r="475" spans="1:10" x14ac:dyDescent="0.25">
      <c r="B475" s="620">
        <v>42734</v>
      </c>
      <c r="C475" s="362">
        <v>6000</v>
      </c>
      <c r="D475" s="621">
        <v>14.562623</v>
      </c>
      <c r="E475" s="363">
        <v>17.309999999999999</v>
      </c>
      <c r="F475" s="443">
        <f t="shared" si="193"/>
        <v>16484.261999999992</v>
      </c>
      <c r="G475" s="363">
        <f t="shared" si="194"/>
        <v>87375.737999999998</v>
      </c>
      <c r="H475" s="365">
        <f t="shared" si="195"/>
        <v>0.18865948806063293</v>
      </c>
      <c r="I475" s="363"/>
    </row>
    <row r="476" spans="1:10" x14ac:dyDescent="0.25">
      <c r="B476" s="620">
        <v>42739</v>
      </c>
      <c r="C476" s="362">
        <v>5500</v>
      </c>
      <c r="D476" s="621">
        <v>14.242898</v>
      </c>
      <c r="E476" s="363">
        <v>18.05</v>
      </c>
      <c r="F476" s="443">
        <f t="shared" si="193"/>
        <v>20939.061000000002</v>
      </c>
      <c r="G476" s="363">
        <f t="shared" si="194"/>
        <v>78335.938999999998</v>
      </c>
      <c r="H476" s="365">
        <f t="shared" si="195"/>
        <v>0.26729827033796072</v>
      </c>
      <c r="I476" s="363"/>
    </row>
    <row r="477" spans="1:10" x14ac:dyDescent="0.25">
      <c r="B477" s="620">
        <v>42741</v>
      </c>
      <c r="C477" s="362">
        <v>6000</v>
      </c>
      <c r="D477" s="621">
        <v>14.54599</v>
      </c>
      <c r="E477" s="363">
        <v>17.98</v>
      </c>
      <c r="F477" s="443">
        <f t="shared" si="193"/>
        <v>20604.060000000005</v>
      </c>
      <c r="G477" s="363">
        <f t="shared" si="194"/>
        <v>87275.94</v>
      </c>
      <c r="H477" s="365">
        <f t="shared" si="195"/>
        <v>0.23607949682352322</v>
      </c>
      <c r="I477" s="363"/>
    </row>
    <row r="478" spans="1:10" ht="15" customHeight="1" x14ac:dyDescent="0.25">
      <c r="B478" s="620">
        <v>42748</v>
      </c>
      <c r="C478" s="362">
        <v>6000</v>
      </c>
      <c r="D478" s="621">
        <v>14.527687999999999</v>
      </c>
      <c r="E478" s="363">
        <v>17.46</v>
      </c>
      <c r="F478" s="443">
        <f t="shared" si="193"/>
        <v>17593.872000000007</v>
      </c>
      <c r="G478" s="363">
        <f t="shared" si="194"/>
        <v>87166.127999999997</v>
      </c>
      <c r="H478" s="365">
        <f t="shared" si="195"/>
        <v>0.20184299112150547</v>
      </c>
      <c r="I478" s="363"/>
    </row>
    <row r="479" spans="1:10" x14ac:dyDescent="0.25">
      <c r="A479" s="226" t="s">
        <v>330</v>
      </c>
      <c r="B479" s="620">
        <v>42754</v>
      </c>
      <c r="C479" s="362">
        <v>6000</v>
      </c>
      <c r="D479" s="621">
        <v>14.527687999999999</v>
      </c>
      <c r="E479" s="363">
        <v>17.27</v>
      </c>
      <c r="F479" s="443">
        <f t="shared" si="193"/>
        <v>16453.871999999999</v>
      </c>
      <c r="G479" s="363">
        <f t="shared" si="194"/>
        <v>87166.127999999997</v>
      </c>
      <c r="H479" s="365">
        <f t="shared" si="195"/>
        <v>0.1887645164185795</v>
      </c>
      <c r="I479" s="363"/>
    </row>
    <row r="480" spans="1:10" x14ac:dyDescent="0.25">
      <c r="A480" t="s">
        <v>330</v>
      </c>
      <c r="B480" s="620">
        <v>42760</v>
      </c>
      <c r="C480" s="362">
        <v>6000</v>
      </c>
      <c r="D480" s="621">
        <v>14.527687999999999</v>
      </c>
      <c r="E480" s="363">
        <v>17.75</v>
      </c>
      <c r="F480" s="443">
        <f t="shared" ref="F480:F494" si="196">C480*(E480-D480)</f>
        <v>19333.872000000003</v>
      </c>
      <c r="G480" s="363">
        <f t="shared" ref="G480:G494" si="197">IF(C480=0, 0,D480*C480)</f>
        <v>87166.127999999997</v>
      </c>
      <c r="H480" s="365">
        <f t="shared" ref="H480:H494" si="198">IF(C480=0, D480, (E480-D480)/D480)</f>
        <v>0.22180487356281334</v>
      </c>
      <c r="I480" s="363"/>
    </row>
    <row r="481" spans="1:9" x14ac:dyDescent="0.25">
      <c r="A481" t="s">
        <v>362</v>
      </c>
      <c r="B481" s="620">
        <v>42761</v>
      </c>
      <c r="C481" s="362">
        <v>6000</v>
      </c>
      <c r="D481" s="621">
        <v>14.50817</v>
      </c>
      <c r="E481" s="363">
        <v>17.75</v>
      </c>
      <c r="F481" s="443">
        <f t="shared" si="196"/>
        <v>19450.98</v>
      </c>
      <c r="G481" s="363">
        <f t="shared" si="197"/>
        <v>87049.02</v>
      </c>
      <c r="H481" s="365">
        <f t="shared" si="198"/>
        <v>0.22344858104088938</v>
      </c>
      <c r="I481" s="363"/>
    </row>
    <row r="482" spans="1:9" x14ac:dyDescent="0.25">
      <c r="A482" t="s">
        <v>365</v>
      </c>
      <c r="B482" s="620">
        <v>42762</v>
      </c>
      <c r="C482" s="362">
        <v>6100</v>
      </c>
      <c r="D482" s="621">
        <v>14.553610000000001</v>
      </c>
      <c r="E482" s="363">
        <v>17.41</v>
      </c>
      <c r="F482" s="443">
        <f t="shared" si="196"/>
        <v>17423.978999999996</v>
      </c>
      <c r="G482" s="363">
        <f t="shared" si="197"/>
        <v>88777.021000000008</v>
      </c>
      <c r="H482" s="365">
        <f t="shared" si="198"/>
        <v>0.19626676817641803</v>
      </c>
      <c r="I482" s="363"/>
    </row>
    <row r="483" spans="1:9" x14ac:dyDescent="0.25">
      <c r="A483" t="s">
        <v>375</v>
      </c>
      <c r="B483" s="620">
        <v>42765</v>
      </c>
      <c r="C483" s="362">
        <v>6900</v>
      </c>
      <c r="D483" s="621">
        <v>14.793915999999999</v>
      </c>
      <c r="E483" s="363">
        <v>16.53</v>
      </c>
      <c r="F483" s="443">
        <f t="shared" si="196"/>
        <v>11978.979600000011</v>
      </c>
      <c r="G483" s="363">
        <f t="shared" si="197"/>
        <v>102078.02039999999</v>
      </c>
      <c r="H483" s="365">
        <f t="shared" si="198"/>
        <v>0.11735121383682331</v>
      </c>
      <c r="I483" s="363"/>
    </row>
    <row r="484" spans="1:9" x14ac:dyDescent="0.25">
      <c r="A484" t="s">
        <v>376</v>
      </c>
      <c r="B484" s="620">
        <v>42766</v>
      </c>
      <c r="C484" s="362">
        <v>6900</v>
      </c>
      <c r="D484" s="621">
        <v>14.783497000000001</v>
      </c>
      <c r="E484" s="363">
        <v>16.75</v>
      </c>
      <c r="F484" s="443">
        <f t="shared" si="196"/>
        <v>13568.870699999996</v>
      </c>
      <c r="G484" s="363">
        <f t="shared" si="197"/>
        <v>102006.1293</v>
      </c>
      <c r="H484" s="365">
        <f t="shared" si="198"/>
        <v>0.13302015078029233</v>
      </c>
      <c r="I484" s="363"/>
    </row>
    <row r="485" spans="1:9" x14ac:dyDescent="0.25">
      <c r="B485" s="620">
        <v>42767</v>
      </c>
      <c r="C485" s="362">
        <v>6000</v>
      </c>
      <c r="D485" s="621">
        <v>14.442175000000001</v>
      </c>
      <c r="E485" s="363">
        <v>16.59</v>
      </c>
      <c r="F485" s="443">
        <f t="shared" si="196"/>
        <v>12886.949999999995</v>
      </c>
      <c r="G485" s="363">
        <f t="shared" si="197"/>
        <v>86653.05</v>
      </c>
      <c r="H485" s="365">
        <f t="shared" si="198"/>
        <v>0.14871894295699914</v>
      </c>
      <c r="I485" s="363"/>
    </row>
    <row r="486" spans="1:9" x14ac:dyDescent="0.25">
      <c r="B486" s="620">
        <v>42767</v>
      </c>
      <c r="C486" s="362">
        <v>7000</v>
      </c>
      <c r="D486" s="621">
        <v>14.725436</v>
      </c>
      <c r="E486" s="363">
        <v>16.59</v>
      </c>
      <c r="F486" s="443">
        <f t="shared" si="196"/>
        <v>13051.947999999999</v>
      </c>
      <c r="G486" s="363">
        <f t="shared" si="197"/>
        <v>103078.052</v>
      </c>
      <c r="H486" s="365">
        <f t="shared" si="198"/>
        <v>0.1266219893251378</v>
      </c>
      <c r="I486" s="363"/>
    </row>
    <row r="487" spans="1:9" ht="15" customHeight="1" x14ac:dyDescent="0.25">
      <c r="B487" s="620">
        <v>42767</v>
      </c>
      <c r="C487" s="362">
        <v>7200</v>
      </c>
      <c r="D487" s="621">
        <v>14.771951</v>
      </c>
      <c r="E487" s="363">
        <v>16.59</v>
      </c>
      <c r="F487" s="443">
        <f t="shared" si="196"/>
        <v>13089.952800000001</v>
      </c>
      <c r="G487" s="363">
        <f t="shared" si="197"/>
        <v>106358.0472</v>
      </c>
      <c r="H487" s="365">
        <f t="shared" si="198"/>
        <v>0.12307439958337259</v>
      </c>
      <c r="I487" s="363"/>
    </row>
    <row r="488" spans="1:9" x14ac:dyDescent="0.25">
      <c r="A488" t="s">
        <v>380</v>
      </c>
      <c r="B488" s="620">
        <v>42767</v>
      </c>
      <c r="C488" s="362">
        <v>6500</v>
      </c>
      <c r="D488" s="621">
        <v>14.578353999999999</v>
      </c>
      <c r="E488" s="363">
        <v>16.59</v>
      </c>
      <c r="F488" s="443">
        <f t="shared" si="196"/>
        <v>13075.699000000004</v>
      </c>
      <c r="G488" s="363">
        <f t="shared" si="197"/>
        <v>94759.300999999992</v>
      </c>
      <c r="H488" s="365">
        <f t="shared" si="198"/>
        <v>0.13798855481215511</v>
      </c>
      <c r="I488" s="363"/>
    </row>
    <row r="489" spans="1:9" x14ac:dyDescent="0.25">
      <c r="A489" t="s">
        <v>382</v>
      </c>
      <c r="B489" s="620">
        <v>42768</v>
      </c>
      <c r="C489" s="362">
        <v>6000</v>
      </c>
      <c r="D489" s="621">
        <v>14.368788</v>
      </c>
      <c r="E489" s="363">
        <v>16.68</v>
      </c>
      <c r="F489" s="443">
        <f t="shared" si="196"/>
        <v>13867.271999999995</v>
      </c>
      <c r="G489" s="363">
        <f>IF(C489=0, 0,D489*C489)</f>
        <v>86212.728000000003</v>
      </c>
      <c r="H489" s="365">
        <f t="shared" si="198"/>
        <v>0.16084947456946261</v>
      </c>
      <c r="I489" s="363"/>
    </row>
    <row r="490" spans="1:9" x14ac:dyDescent="0.25">
      <c r="A490" t="s">
        <v>389</v>
      </c>
      <c r="B490" s="620">
        <v>42769</v>
      </c>
      <c r="C490" s="362">
        <v>5300</v>
      </c>
      <c r="D490" s="621">
        <v>14.006677</v>
      </c>
      <c r="E490" s="363">
        <v>17.23</v>
      </c>
      <c r="F490" s="443">
        <f t="shared" si="196"/>
        <v>17083.611900000004</v>
      </c>
      <c r="G490" s="363">
        <f t="shared" si="197"/>
        <v>74235.388099999996</v>
      </c>
      <c r="H490" s="365">
        <f t="shared" si="198"/>
        <v>0.2301276027140485</v>
      </c>
      <c r="I490" s="363"/>
    </row>
    <row r="491" spans="1:9" x14ac:dyDescent="0.25">
      <c r="A491" t="s">
        <v>399</v>
      </c>
      <c r="B491" s="620">
        <v>42772</v>
      </c>
      <c r="C491" s="362">
        <v>6000</v>
      </c>
      <c r="D491" s="621">
        <v>14.311230999999999</v>
      </c>
      <c r="E491" s="363">
        <v>16.52</v>
      </c>
      <c r="F491" s="443">
        <f t="shared" si="196"/>
        <v>13252.614000000001</v>
      </c>
      <c r="G491" s="363">
        <f t="shared" si="197"/>
        <v>85867.385999999999</v>
      </c>
      <c r="H491" s="365">
        <f t="shared" si="198"/>
        <v>0.15433815581622576</v>
      </c>
      <c r="I491" s="363"/>
    </row>
    <row r="492" spans="1:9" x14ac:dyDescent="0.25">
      <c r="A492" t="s">
        <v>404</v>
      </c>
      <c r="B492" s="620">
        <v>42773</v>
      </c>
      <c r="C492" s="362">
        <v>6600</v>
      </c>
      <c r="D492" s="621">
        <v>14.461574000000001</v>
      </c>
      <c r="E492" s="363">
        <v>16.03</v>
      </c>
      <c r="F492" s="443">
        <f t="shared" si="196"/>
        <v>10351.611600000004</v>
      </c>
      <c r="G492" s="363">
        <f t="shared" si="197"/>
        <v>95446.388400000011</v>
      </c>
      <c r="H492" s="365">
        <f t="shared" si="198"/>
        <v>0.10845472283998965</v>
      </c>
      <c r="I492" s="363"/>
    </row>
    <row r="493" spans="1:9" x14ac:dyDescent="0.25">
      <c r="A493" t="s">
        <v>427</v>
      </c>
      <c r="B493" s="620">
        <v>42781</v>
      </c>
      <c r="C493" s="362">
        <v>5700</v>
      </c>
      <c r="D493" s="621">
        <v>14.140828000000001</v>
      </c>
      <c r="E493" s="363">
        <v>16.3</v>
      </c>
      <c r="F493" s="443">
        <f t="shared" si="196"/>
        <v>12307.2804</v>
      </c>
      <c r="G493" s="363">
        <f t="shared" si="197"/>
        <v>80602.719600000011</v>
      </c>
      <c r="H493" s="365">
        <f t="shared" si="198"/>
        <v>0.1526906345229572</v>
      </c>
      <c r="I493" s="363"/>
    </row>
    <row r="494" spans="1:9" x14ac:dyDescent="0.25">
      <c r="A494" t="s">
        <v>429</v>
      </c>
      <c r="B494" s="620">
        <v>42782</v>
      </c>
      <c r="C494" s="362">
        <v>5700</v>
      </c>
      <c r="D494" s="621">
        <v>14.103</v>
      </c>
      <c r="E494" s="363">
        <v>16.170000000000002</v>
      </c>
      <c r="F494" s="443">
        <f t="shared" si="196"/>
        <v>11781.900000000011</v>
      </c>
      <c r="G494" s="363">
        <f t="shared" si="197"/>
        <v>80387.100000000006</v>
      </c>
      <c r="H494" s="365">
        <f t="shared" si="198"/>
        <v>0.14656456073175933</v>
      </c>
      <c r="I494" s="363"/>
    </row>
    <row r="495" spans="1:9" x14ac:dyDescent="0.25">
      <c r="B495" s="620"/>
      <c r="C495" s="362"/>
      <c r="D495" s="621"/>
      <c r="E495" s="363"/>
      <c r="F495" s="443"/>
      <c r="G495" s="363"/>
      <c r="H495" s="365"/>
      <c r="I495" s="363"/>
    </row>
    <row r="496" spans="1:9" x14ac:dyDescent="0.25">
      <c r="B496" s="620"/>
      <c r="C496" s="362"/>
      <c r="D496" s="621"/>
      <c r="E496" s="363"/>
      <c r="F496" s="443"/>
      <c r="G496" s="363"/>
      <c r="H496" s="365"/>
      <c r="I496" s="363"/>
    </row>
    <row r="497" spans="1:13" x14ac:dyDescent="0.25">
      <c r="B497" s="620"/>
      <c r="C497" s="362"/>
      <c r="D497" s="621"/>
      <c r="E497" s="363"/>
      <c r="F497" s="443"/>
      <c r="G497" s="363"/>
      <c r="H497" s="365"/>
      <c r="I497" s="363"/>
    </row>
    <row r="498" spans="1:13" x14ac:dyDescent="0.25">
      <c r="B498" s="620"/>
      <c r="C498" s="362"/>
      <c r="D498" s="621"/>
      <c r="E498" s="363"/>
      <c r="F498" s="443"/>
      <c r="G498" s="363"/>
      <c r="H498" s="365"/>
      <c r="I498" s="363"/>
    </row>
    <row r="502" spans="1:13" x14ac:dyDescent="0.25">
      <c r="L502" t="s">
        <v>65</v>
      </c>
      <c r="M502" s="227">
        <f>K765+M765-F765</f>
        <v>14615.571000001626</v>
      </c>
    </row>
    <row r="503" spans="1:13" x14ac:dyDescent="0.25">
      <c r="A503" s="510" t="s">
        <v>1</v>
      </c>
      <c r="B503" s="587" t="s">
        <v>2</v>
      </c>
      <c r="C503" s="510" t="s">
        <v>4</v>
      </c>
      <c r="D503" s="588" t="s">
        <v>5</v>
      </c>
      <c r="E503" s="511" t="s">
        <v>90</v>
      </c>
      <c r="F503" s="511" t="s">
        <v>60</v>
      </c>
      <c r="G503" s="510" t="s">
        <v>3</v>
      </c>
      <c r="H503" s="589" t="s">
        <v>6</v>
      </c>
      <c r="I503" s="588" t="s">
        <v>7</v>
      </c>
      <c r="J503" s="511" t="s">
        <v>89</v>
      </c>
      <c r="K503" s="511" t="s">
        <v>61</v>
      </c>
      <c r="L503" s="510" t="s">
        <v>37</v>
      </c>
      <c r="M503" s="511" t="s">
        <v>38</v>
      </c>
    </row>
    <row r="504" spans="1:13" x14ac:dyDescent="0.25">
      <c r="A504" s="512" t="s">
        <v>50</v>
      </c>
      <c r="B504" s="545">
        <v>42187</v>
      </c>
      <c r="C504" s="497">
        <v>1000</v>
      </c>
      <c r="D504" s="498">
        <v>27.25</v>
      </c>
      <c r="E504" s="499">
        <v>0</v>
      </c>
      <c r="F504" s="499">
        <f>C504*D504+E504</f>
        <v>27250</v>
      </c>
      <c r="G504" s="496">
        <v>42187</v>
      </c>
      <c r="H504" s="513">
        <v>2000</v>
      </c>
      <c r="I504" s="498">
        <v>27.34</v>
      </c>
      <c r="J504" s="499">
        <v>-5.49</v>
      </c>
      <c r="K504" s="499">
        <f>H504*I504-J504</f>
        <v>54685.49</v>
      </c>
      <c r="L504" s="496">
        <v>42257</v>
      </c>
      <c r="M504" s="499">
        <v>850.5</v>
      </c>
    </row>
    <row r="505" spans="1:13" x14ac:dyDescent="0.25">
      <c r="A505" s="514" t="s">
        <v>71</v>
      </c>
      <c r="B505" s="545">
        <v>42187</v>
      </c>
      <c r="C505" s="497">
        <v>80</v>
      </c>
      <c r="D505" s="498">
        <v>27.152249999999999</v>
      </c>
      <c r="E505" s="499">
        <v>0</v>
      </c>
      <c r="F505" s="499">
        <f t="shared" ref="F505:F568" si="199">C505*D505+E505</f>
        <v>2172.1799999999998</v>
      </c>
      <c r="G505" s="496">
        <v>42199</v>
      </c>
      <c r="H505" s="513">
        <v>102</v>
      </c>
      <c r="I505" s="498">
        <v>25.28</v>
      </c>
      <c r="J505" s="499">
        <v>0.05</v>
      </c>
      <c r="K505" s="499">
        <f t="shared" ref="K505:K532" si="200">H505*I505-J505</f>
        <v>2578.5099999999998</v>
      </c>
      <c r="L505" s="496">
        <v>42439</v>
      </c>
      <c r="M505" s="499">
        <v>483.9</v>
      </c>
    </row>
    <row r="506" spans="1:13" x14ac:dyDescent="0.25">
      <c r="A506" s="497"/>
      <c r="B506" s="545">
        <v>42187</v>
      </c>
      <c r="C506" s="497">
        <v>1000</v>
      </c>
      <c r="D506" s="498">
        <v>27.1</v>
      </c>
      <c r="E506" s="499">
        <v>0</v>
      </c>
      <c r="F506" s="499">
        <f t="shared" si="199"/>
        <v>27100</v>
      </c>
      <c r="G506" s="496">
        <v>42227</v>
      </c>
      <c r="H506" s="513">
        <v>200</v>
      </c>
      <c r="I506" s="498">
        <v>19.649999999999999</v>
      </c>
      <c r="J506" s="499">
        <v>7.0000000000000007E-2</v>
      </c>
      <c r="K506" s="499">
        <f t="shared" si="200"/>
        <v>3929.9299999999994</v>
      </c>
      <c r="L506" s="496">
        <v>42531</v>
      </c>
      <c r="M506" s="499">
        <v>483.9</v>
      </c>
    </row>
    <row r="507" spans="1:13" x14ac:dyDescent="0.25">
      <c r="A507" s="497"/>
      <c r="B507" s="608">
        <v>42187</v>
      </c>
      <c r="C507" s="497">
        <v>500</v>
      </c>
      <c r="D507" s="498">
        <v>27.039332999999999</v>
      </c>
      <c r="E507" s="499">
        <v>0</v>
      </c>
      <c r="F507" s="499">
        <f t="shared" si="199"/>
        <v>13519.666499999999</v>
      </c>
      <c r="G507" s="496">
        <v>42227</v>
      </c>
      <c r="H507" s="513">
        <v>200</v>
      </c>
      <c r="I507" s="498">
        <v>18.7</v>
      </c>
      <c r="J507" s="499">
        <v>7.0000000000000007E-2</v>
      </c>
      <c r="K507" s="499">
        <f t="shared" si="200"/>
        <v>3739.93</v>
      </c>
      <c r="L507" s="496">
        <v>42625</v>
      </c>
      <c r="M507" s="499">
        <v>433.9</v>
      </c>
    </row>
    <row r="508" spans="1:13" x14ac:dyDescent="0.25">
      <c r="A508" s="497"/>
      <c r="B508" s="608"/>
      <c r="C508" s="497">
        <v>500</v>
      </c>
      <c r="D508" s="498">
        <v>27.039332999999999</v>
      </c>
      <c r="E508" s="499">
        <v>0</v>
      </c>
      <c r="F508" s="499">
        <f t="shared" si="199"/>
        <v>13519.666499999999</v>
      </c>
      <c r="G508" s="496">
        <v>42257</v>
      </c>
      <c r="H508" s="513">
        <v>1600</v>
      </c>
      <c r="I508" s="498">
        <v>16.445</v>
      </c>
      <c r="J508" s="499">
        <v>0.48</v>
      </c>
      <c r="K508" s="499">
        <f t="shared" si="200"/>
        <v>26311.52</v>
      </c>
      <c r="L508" s="496">
        <v>42716</v>
      </c>
      <c r="M508" s="499">
        <v>500</v>
      </c>
    </row>
    <row r="509" spans="1:13" x14ac:dyDescent="0.25">
      <c r="A509" s="497"/>
      <c r="B509" s="608"/>
      <c r="C509" s="497">
        <v>500</v>
      </c>
      <c r="D509" s="498">
        <v>27.039332999999999</v>
      </c>
      <c r="E509" s="499">
        <v>0</v>
      </c>
      <c r="F509" s="499">
        <f t="shared" si="199"/>
        <v>13519.666499999999</v>
      </c>
      <c r="G509" s="609">
        <v>42265</v>
      </c>
      <c r="H509" s="513">
        <v>200</v>
      </c>
      <c r="I509" s="498">
        <v>15.65</v>
      </c>
      <c r="J509" s="499">
        <v>0.05</v>
      </c>
      <c r="K509" s="499">
        <f t="shared" si="200"/>
        <v>3129.95</v>
      </c>
      <c r="L509" s="497"/>
      <c r="M509" s="499"/>
    </row>
    <row r="510" spans="1:13" x14ac:dyDescent="0.25">
      <c r="A510" s="497"/>
      <c r="B510" s="608"/>
      <c r="C510" s="497">
        <v>500</v>
      </c>
      <c r="D510" s="498">
        <v>27.039332999999999</v>
      </c>
      <c r="E510" s="499">
        <v>0</v>
      </c>
      <c r="F510" s="499">
        <f t="shared" si="199"/>
        <v>13519.666499999999</v>
      </c>
      <c r="G510" s="609"/>
      <c r="H510" s="513">
        <v>2400</v>
      </c>
      <c r="I510" s="498">
        <v>15.7</v>
      </c>
      <c r="J510" s="499">
        <v>0.7</v>
      </c>
      <c r="K510" s="499">
        <f t="shared" si="200"/>
        <v>37679.300000000003</v>
      </c>
      <c r="L510" s="497"/>
      <c r="M510" s="499"/>
    </row>
    <row r="511" spans="1:13" x14ac:dyDescent="0.25">
      <c r="A511" s="497"/>
      <c r="B511" s="608"/>
      <c r="C511" s="497">
        <v>1000</v>
      </c>
      <c r="D511" s="498">
        <v>27.039332999999999</v>
      </c>
      <c r="E511" s="499">
        <v>0</v>
      </c>
      <c r="F511" s="499">
        <f t="shared" si="199"/>
        <v>27039.332999999999</v>
      </c>
      <c r="G511" s="496">
        <v>42271</v>
      </c>
      <c r="H511" s="590">
        <v>918</v>
      </c>
      <c r="I511" s="591">
        <v>16.45</v>
      </c>
      <c r="J511" s="592">
        <v>0.28000000000000003</v>
      </c>
      <c r="K511" s="592">
        <f t="shared" si="200"/>
        <v>15100.819999999998</v>
      </c>
      <c r="L511" s="497"/>
      <c r="M511" s="499"/>
    </row>
    <row r="512" spans="1:13" ht="15" customHeight="1" x14ac:dyDescent="0.25">
      <c r="A512" s="497"/>
      <c r="B512" s="545">
        <v>42198</v>
      </c>
      <c r="C512" s="497">
        <v>100</v>
      </c>
      <c r="D512" s="498">
        <v>24.77</v>
      </c>
      <c r="E512" s="499">
        <v>0</v>
      </c>
      <c r="F512" s="499">
        <f t="shared" si="199"/>
        <v>2477</v>
      </c>
      <c r="G512" s="610" t="s">
        <v>139</v>
      </c>
      <c r="H512" s="513">
        <v>500</v>
      </c>
      <c r="I512" s="498">
        <v>15.95</v>
      </c>
      <c r="J512" s="499">
        <v>0.15</v>
      </c>
      <c r="K512" s="592">
        <f t="shared" si="200"/>
        <v>7974.85</v>
      </c>
      <c r="L512" s="497"/>
      <c r="M512" s="499"/>
    </row>
    <row r="513" spans="1:13" x14ac:dyDescent="0.25">
      <c r="A513" s="497"/>
      <c r="B513" s="545">
        <v>42205</v>
      </c>
      <c r="C513" s="497">
        <v>50</v>
      </c>
      <c r="D513" s="498">
        <v>24.35</v>
      </c>
      <c r="E513" s="499">
        <v>0</v>
      </c>
      <c r="F513" s="499">
        <f t="shared" si="199"/>
        <v>1217.5</v>
      </c>
      <c r="G513" s="610"/>
      <c r="H513" s="513">
        <v>500</v>
      </c>
      <c r="I513" s="498">
        <v>16.100000000000001</v>
      </c>
      <c r="J513" s="499">
        <v>0.15</v>
      </c>
      <c r="K513" s="592">
        <f t="shared" si="200"/>
        <v>8049.8500000000013</v>
      </c>
      <c r="L513" s="497"/>
      <c r="M513" s="499"/>
    </row>
    <row r="514" spans="1:13" x14ac:dyDescent="0.25">
      <c r="A514" s="497"/>
      <c r="B514" s="545">
        <v>42207</v>
      </c>
      <c r="C514" s="497">
        <v>20</v>
      </c>
      <c r="D514" s="498">
        <v>24.02</v>
      </c>
      <c r="E514" s="499">
        <v>0</v>
      </c>
      <c r="F514" s="499">
        <f t="shared" si="199"/>
        <v>480.4</v>
      </c>
      <c r="G514" s="610"/>
      <c r="H514" s="513">
        <v>500</v>
      </c>
      <c r="I514" s="498">
        <v>16.170000000000002</v>
      </c>
      <c r="J514" s="499">
        <v>0.15</v>
      </c>
      <c r="K514" s="592">
        <f t="shared" si="200"/>
        <v>8084.8500000000013</v>
      </c>
      <c r="L514" s="497"/>
      <c r="M514" s="499"/>
    </row>
    <row r="515" spans="1:13" x14ac:dyDescent="0.25">
      <c r="A515" s="497"/>
      <c r="B515" s="545">
        <v>42207</v>
      </c>
      <c r="C515" s="497">
        <v>20</v>
      </c>
      <c r="D515" s="498">
        <v>23.91</v>
      </c>
      <c r="E515" s="499">
        <v>0</v>
      </c>
      <c r="F515" s="499">
        <f t="shared" si="199"/>
        <v>478.2</v>
      </c>
      <c r="G515" s="610"/>
      <c r="H515" s="513">
        <v>500</v>
      </c>
      <c r="I515" s="498">
        <v>16.28</v>
      </c>
      <c r="J515" s="499">
        <v>0.15</v>
      </c>
      <c r="K515" s="592">
        <f t="shared" si="200"/>
        <v>8139.8500000000013</v>
      </c>
      <c r="L515" s="499"/>
      <c r="M515" s="499"/>
    </row>
    <row r="516" spans="1:13" x14ac:dyDescent="0.25">
      <c r="A516" s="497"/>
      <c r="B516" s="545">
        <v>42207</v>
      </c>
      <c r="C516" s="497">
        <v>20</v>
      </c>
      <c r="D516" s="498">
        <v>23.7</v>
      </c>
      <c r="E516" s="499">
        <v>0</v>
      </c>
      <c r="F516" s="499">
        <f t="shared" si="199"/>
        <v>474</v>
      </c>
      <c r="G516" s="610"/>
      <c r="H516" s="513">
        <v>500</v>
      </c>
      <c r="I516" s="498">
        <v>16.39</v>
      </c>
      <c r="J516" s="499">
        <v>0.15</v>
      </c>
      <c r="K516" s="592">
        <f t="shared" si="200"/>
        <v>8194.85</v>
      </c>
      <c r="L516" s="497"/>
      <c r="M516" s="499"/>
    </row>
    <row r="517" spans="1:13" x14ac:dyDescent="0.25">
      <c r="A517" s="497"/>
      <c r="B517" s="545">
        <v>42207</v>
      </c>
      <c r="C517" s="497">
        <v>20</v>
      </c>
      <c r="D517" s="498">
        <v>23.6</v>
      </c>
      <c r="E517" s="499">
        <v>0</v>
      </c>
      <c r="F517" s="499">
        <f t="shared" si="199"/>
        <v>472</v>
      </c>
      <c r="G517" s="610"/>
      <c r="H517" s="513">
        <v>500</v>
      </c>
      <c r="I517" s="498">
        <v>16.55</v>
      </c>
      <c r="J517" s="499">
        <v>0.17</v>
      </c>
      <c r="K517" s="592">
        <f t="shared" si="200"/>
        <v>8274.83</v>
      </c>
      <c r="L517" s="497"/>
      <c r="M517" s="499"/>
    </row>
    <row r="518" spans="1:13" x14ac:dyDescent="0.25">
      <c r="A518" s="497"/>
      <c r="B518" s="545">
        <v>42209</v>
      </c>
      <c r="C518" s="497">
        <v>40</v>
      </c>
      <c r="D518" s="498">
        <v>22.3</v>
      </c>
      <c r="E518" s="499">
        <v>0</v>
      </c>
      <c r="F518" s="499">
        <f t="shared" si="199"/>
        <v>892</v>
      </c>
      <c r="G518" s="610"/>
      <c r="H518" s="513">
        <v>50</v>
      </c>
      <c r="I518" s="498">
        <v>16.55</v>
      </c>
      <c r="J518" s="499">
        <v>0</v>
      </c>
      <c r="K518" s="592">
        <f t="shared" si="200"/>
        <v>827.5</v>
      </c>
      <c r="L518" s="497"/>
      <c r="M518" s="499"/>
    </row>
    <row r="519" spans="1:13" x14ac:dyDescent="0.25">
      <c r="A519" s="499"/>
      <c r="B519" s="545">
        <v>42221</v>
      </c>
      <c r="C519" s="497">
        <v>12</v>
      </c>
      <c r="D519" s="498">
        <v>20.95</v>
      </c>
      <c r="E519" s="499">
        <v>0</v>
      </c>
      <c r="F519" s="499">
        <f t="shared" si="199"/>
        <v>251.39999999999998</v>
      </c>
      <c r="G519" s="610"/>
      <c r="H519" s="513">
        <v>28</v>
      </c>
      <c r="I519" s="498">
        <v>16.68</v>
      </c>
      <c r="J519" s="499">
        <v>0.01</v>
      </c>
      <c r="K519" s="592">
        <f t="shared" si="200"/>
        <v>467.03</v>
      </c>
      <c r="L519" s="513"/>
      <c r="M519" s="499"/>
    </row>
    <row r="520" spans="1:13" x14ac:dyDescent="0.25">
      <c r="A520" s="497"/>
      <c r="B520" s="545">
        <v>42223</v>
      </c>
      <c r="C520" s="497">
        <v>100</v>
      </c>
      <c r="D520" s="498">
        <v>20.399999999999999</v>
      </c>
      <c r="E520" s="499">
        <v>0</v>
      </c>
      <c r="F520" s="499">
        <f t="shared" si="199"/>
        <v>2039.9999999999998</v>
      </c>
      <c r="G520" s="496">
        <v>42285</v>
      </c>
      <c r="H520" s="513">
        <v>632</v>
      </c>
      <c r="I520" s="498">
        <v>17.850000000000001</v>
      </c>
      <c r="J520" s="499">
        <v>0.21</v>
      </c>
      <c r="K520" s="592">
        <f t="shared" si="200"/>
        <v>11280.990000000002</v>
      </c>
      <c r="L520" s="499"/>
      <c r="M520" s="499"/>
    </row>
    <row r="521" spans="1:13" x14ac:dyDescent="0.25">
      <c r="A521" s="499"/>
      <c r="B521" s="545">
        <v>42226</v>
      </c>
      <c r="C521" s="497">
        <v>200</v>
      </c>
      <c r="D521" s="498">
        <v>19.95</v>
      </c>
      <c r="E521" s="499">
        <v>0</v>
      </c>
      <c r="F521" s="499">
        <f t="shared" si="199"/>
        <v>3990</v>
      </c>
      <c r="G521" s="496">
        <v>42297</v>
      </c>
      <c r="H521" s="513">
        <v>500</v>
      </c>
      <c r="I521" s="498">
        <v>19.149999999999999</v>
      </c>
      <c r="J521" s="499">
        <v>0.18</v>
      </c>
      <c r="K521" s="592">
        <f t="shared" si="200"/>
        <v>9574.82</v>
      </c>
      <c r="L521" s="497"/>
      <c r="M521" s="499"/>
    </row>
    <row r="522" spans="1:13" x14ac:dyDescent="0.25">
      <c r="A522" s="497"/>
      <c r="B522" s="545">
        <v>42226</v>
      </c>
      <c r="C522" s="497">
        <v>50</v>
      </c>
      <c r="D522" s="498">
        <v>20.010000000000002</v>
      </c>
      <c r="E522" s="499">
        <v>0</v>
      </c>
      <c r="F522" s="499">
        <f t="shared" si="199"/>
        <v>1000.5000000000001</v>
      </c>
      <c r="G522" s="496">
        <v>42300</v>
      </c>
      <c r="H522" s="513">
        <v>1000</v>
      </c>
      <c r="I522" s="498">
        <v>18.62</v>
      </c>
      <c r="J522" s="499">
        <v>0.34</v>
      </c>
      <c r="K522" s="592">
        <f t="shared" si="200"/>
        <v>18619.66</v>
      </c>
      <c r="L522" s="497"/>
      <c r="M522" s="499"/>
    </row>
    <row r="523" spans="1:13" x14ac:dyDescent="0.25">
      <c r="A523" s="497"/>
      <c r="B523" s="545">
        <v>42226</v>
      </c>
      <c r="C523" s="497">
        <v>100</v>
      </c>
      <c r="D523" s="498">
        <v>20.2</v>
      </c>
      <c r="E523" s="499">
        <v>0</v>
      </c>
      <c r="F523" s="499">
        <f t="shared" si="199"/>
        <v>2020</v>
      </c>
      <c r="G523" s="496">
        <v>42312</v>
      </c>
      <c r="H523" s="513">
        <v>2500</v>
      </c>
      <c r="I523" s="498">
        <v>18.48</v>
      </c>
      <c r="J523" s="499">
        <v>7.8</v>
      </c>
      <c r="K523" s="499">
        <f t="shared" si="200"/>
        <v>46192.2</v>
      </c>
      <c r="L523" s="497"/>
      <c r="M523" s="499"/>
    </row>
    <row r="524" spans="1:13" x14ac:dyDescent="0.25">
      <c r="A524" s="497"/>
      <c r="B524" s="545">
        <v>42227</v>
      </c>
      <c r="C524" s="497">
        <v>200</v>
      </c>
      <c r="D524" s="498">
        <v>18.399999999999999</v>
      </c>
      <c r="E524" s="499">
        <v>0</v>
      </c>
      <c r="F524" s="499">
        <f t="shared" si="199"/>
        <v>3679.9999999999995</v>
      </c>
      <c r="G524" s="496">
        <v>42313</v>
      </c>
      <c r="H524" s="513">
        <v>3000</v>
      </c>
      <c r="I524" s="498">
        <v>19.059999999999999</v>
      </c>
      <c r="J524" s="499">
        <v>1.05</v>
      </c>
      <c r="K524" s="499">
        <f t="shared" si="200"/>
        <v>57178.94999999999</v>
      </c>
      <c r="L524" s="497"/>
      <c r="M524" s="499"/>
    </row>
    <row r="525" spans="1:13" x14ac:dyDescent="0.25">
      <c r="A525" s="497"/>
      <c r="B525" s="545">
        <v>42227</v>
      </c>
      <c r="C525" s="497">
        <v>200</v>
      </c>
      <c r="D525" s="498">
        <v>19.55</v>
      </c>
      <c r="E525" s="499">
        <v>0</v>
      </c>
      <c r="F525" s="499">
        <f t="shared" si="199"/>
        <v>3910</v>
      </c>
      <c r="G525" s="496">
        <v>42324</v>
      </c>
      <c r="H525" s="513">
        <v>2500</v>
      </c>
      <c r="I525" s="498">
        <v>18.8</v>
      </c>
      <c r="J525" s="499">
        <v>0.86</v>
      </c>
      <c r="K525" s="499">
        <f t="shared" si="200"/>
        <v>46999.14</v>
      </c>
      <c r="L525" s="499"/>
      <c r="M525" s="499"/>
    </row>
    <row r="526" spans="1:13" x14ac:dyDescent="0.25">
      <c r="A526" s="497"/>
      <c r="B526" s="545">
        <v>42234</v>
      </c>
      <c r="C526" s="497">
        <v>40</v>
      </c>
      <c r="D526" s="498">
        <v>18.149999999999999</v>
      </c>
      <c r="E526" s="499">
        <v>0</v>
      </c>
      <c r="F526" s="499">
        <f t="shared" si="199"/>
        <v>726</v>
      </c>
      <c r="G526" s="496">
        <v>42335</v>
      </c>
      <c r="H526" s="513">
        <v>3078</v>
      </c>
      <c r="I526" s="498">
        <v>17.649999999999999</v>
      </c>
      <c r="J526" s="499">
        <v>1</v>
      </c>
      <c r="K526" s="499">
        <f t="shared" si="200"/>
        <v>54325.7</v>
      </c>
      <c r="L526" s="497"/>
      <c r="M526" s="499"/>
    </row>
    <row r="527" spans="1:13" x14ac:dyDescent="0.25">
      <c r="A527" s="497"/>
      <c r="B527" s="545">
        <v>42234</v>
      </c>
      <c r="C527" s="497">
        <v>100</v>
      </c>
      <c r="D527" s="498">
        <v>18</v>
      </c>
      <c r="E527" s="499">
        <v>0</v>
      </c>
      <c r="F527" s="499">
        <f t="shared" si="199"/>
        <v>1800</v>
      </c>
      <c r="G527" s="496">
        <v>42347</v>
      </c>
      <c r="H527" s="513">
        <v>500</v>
      </c>
      <c r="I527" s="498">
        <v>16.149999999999999</v>
      </c>
      <c r="J527" s="499">
        <v>0.15</v>
      </c>
      <c r="K527" s="499">
        <f t="shared" si="200"/>
        <v>8074.8499999999995</v>
      </c>
      <c r="L527" s="497"/>
      <c r="M527" s="499"/>
    </row>
    <row r="528" spans="1:13" x14ac:dyDescent="0.25">
      <c r="A528" s="497"/>
      <c r="B528" s="545">
        <v>42235</v>
      </c>
      <c r="C528" s="497">
        <v>100</v>
      </c>
      <c r="D528" s="498">
        <v>17.78</v>
      </c>
      <c r="E528" s="499">
        <v>0</v>
      </c>
      <c r="F528" s="499">
        <f t="shared" si="199"/>
        <v>1778</v>
      </c>
      <c r="G528" s="496">
        <v>42353</v>
      </c>
      <c r="H528" s="513">
        <v>600</v>
      </c>
      <c r="I528" s="498">
        <v>14.95</v>
      </c>
      <c r="J528" s="499">
        <v>0.17</v>
      </c>
      <c r="K528" s="499">
        <f t="shared" si="200"/>
        <v>8969.83</v>
      </c>
      <c r="L528" s="497"/>
      <c r="M528" s="499"/>
    </row>
    <row r="529" spans="1:13" x14ac:dyDescent="0.25">
      <c r="A529" s="497"/>
      <c r="B529" s="545">
        <v>42235</v>
      </c>
      <c r="C529" s="497">
        <v>100</v>
      </c>
      <c r="D529" s="498">
        <v>17.68</v>
      </c>
      <c r="E529" s="499">
        <v>0</v>
      </c>
      <c r="F529" s="499">
        <f t="shared" si="199"/>
        <v>1768</v>
      </c>
      <c r="G529" s="496">
        <v>42354</v>
      </c>
      <c r="H529" s="513">
        <v>500</v>
      </c>
      <c r="I529" s="498">
        <v>14.32</v>
      </c>
      <c r="J529" s="499">
        <v>0.13</v>
      </c>
      <c r="K529" s="499">
        <f t="shared" si="200"/>
        <v>7159.87</v>
      </c>
      <c r="L529" s="497"/>
      <c r="M529" s="499"/>
    </row>
    <row r="530" spans="1:13" x14ac:dyDescent="0.25">
      <c r="A530" s="497"/>
      <c r="B530" s="545">
        <v>42240</v>
      </c>
      <c r="C530" s="497">
        <v>100</v>
      </c>
      <c r="D530" s="498">
        <v>16.649999999999999</v>
      </c>
      <c r="E530" s="499">
        <v>0</v>
      </c>
      <c r="F530" s="499">
        <f t="shared" si="199"/>
        <v>1664.9999999999998</v>
      </c>
      <c r="G530" s="496">
        <v>42361</v>
      </c>
      <c r="H530" s="513">
        <v>500</v>
      </c>
      <c r="I530" s="498">
        <v>12.83</v>
      </c>
      <c r="J530" s="499">
        <v>0.12</v>
      </c>
      <c r="K530" s="499">
        <f t="shared" si="200"/>
        <v>6414.88</v>
      </c>
      <c r="L530" s="497"/>
      <c r="M530" s="499"/>
    </row>
    <row r="531" spans="1:13" x14ac:dyDescent="0.25">
      <c r="A531" s="497"/>
      <c r="B531" s="545">
        <v>42240</v>
      </c>
      <c r="C531" s="497">
        <v>100</v>
      </c>
      <c r="D531" s="498">
        <v>16.100000000000001</v>
      </c>
      <c r="E531" s="499">
        <v>0</v>
      </c>
      <c r="F531" s="499">
        <f t="shared" si="199"/>
        <v>1610.0000000000002</v>
      </c>
      <c r="G531" s="496">
        <v>42362</v>
      </c>
      <c r="H531" s="513">
        <v>1222</v>
      </c>
      <c r="I531" s="498">
        <v>12.75</v>
      </c>
      <c r="J531" s="499">
        <v>0.28999999999999998</v>
      </c>
      <c r="K531" s="499">
        <f t="shared" si="200"/>
        <v>15580.21</v>
      </c>
      <c r="L531" s="497"/>
      <c r="M531" s="499"/>
    </row>
    <row r="532" spans="1:13" x14ac:dyDescent="0.25">
      <c r="A532" s="497"/>
      <c r="B532" s="545">
        <v>42257</v>
      </c>
      <c r="C532" s="497">
        <v>1500</v>
      </c>
      <c r="D532" s="498">
        <v>16.350000000000001</v>
      </c>
      <c r="E532" s="499">
        <v>0</v>
      </c>
      <c r="F532" s="499">
        <f t="shared" si="199"/>
        <v>24525.000000000004</v>
      </c>
      <c r="G532" s="496">
        <v>42367</v>
      </c>
      <c r="H532" s="513">
        <v>1000</v>
      </c>
      <c r="I532" s="498">
        <v>13.15</v>
      </c>
      <c r="J532" s="499">
        <v>0.24</v>
      </c>
      <c r="K532" s="499">
        <f t="shared" si="200"/>
        <v>13149.76</v>
      </c>
      <c r="L532" s="497"/>
      <c r="M532" s="499"/>
    </row>
    <row r="533" spans="1:13" x14ac:dyDescent="0.25">
      <c r="A533" s="497"/>
      <c r="B533" s="545">
        <v>42258</v>
      </c>
      <c r="C533" s="497">
        <v>100</v>
      </c>
      <c r="D533" s="498">
        <v>16.100000000000001</v>
      </c>
      <c r="E533" s="499">
        <v>0</v>
      </c>
      <c r="F533" s="499">
        <f t="shared" si="199"/>
        <v>1610.0000000000002</v>
      </c>
      <c r="G533" s="496">
        <v>42367</v>
      </c>
      <c r="H533" s="513">
        <v>2178</v>
      </c>
      <c r="I533" s="498">
        <v>13.75</v>
      </c>
      <c r="J533" s="499">
        <v>0.55000000000000004</v>
      </c>
      <c r="K533" s="499">
        <f>H533*I533-J533</f>
        <v>29946.95</v>
      </c>
      <c r="L533" s="497"/>
      <c r="M533" s="499"/>
    </row>
    <row r="534" spans="1:13" x14ac:dyDescent="0.25">
      <c r="A534" s="497"/>
      <c r="B534" s="545">
        <v>42261</v>
      </c>
      <c r="C534" s="497">
        <v>1000</v>
      </c>
      <c r="D534" s="498">
        <v>15.416</v>
      </c>
      <c r="E534" s="499">
        <v>0</v>
      </c>
      <c r="F534" s="499">
        <f t="shared" si="199"/>
        <v>15416</v>
      </c>
      <c r="G534" s="496">
        <v>42010</v>
      </c>
      <c r="H534" s="513">
        <v>1000</v>
      </c>
      <c r="I534" s="498">
        <v>12.63</v>
      </c>
      <c r="J534" s="499">
        <v>0.23</v>
      </c>
      <c r="K534" s="499">
        <f>H534*I534-J534</f>
        <v>12629.77</v>
      </c>
      <c r="L534" s="497"/>
      <c r="M534" s="499"/>
    </row>
    <row r="535" spans="1:13" x14ac:dyDescent="0.25">
      <c r="A535" s="497"/>
      <c r="B535" s="545">
        <v>42261</v>
      </c>
      <c r="C535" s="497">
        <v>1000</v>
      </c>
      <c r="D535" s="498">
        <v>15.1</v>
      </c>
      <c r="E535" s="499">
        <v>0</v>
      </c>
      <c r="F535" s="499">
        <f t="shared" si="199"/>
        <v>15100</v>
      </c>
      <c r="G535" s="593">
        <v>42374</v>
      </c>
      <c r="H535" s="513">
        <v>2000</v>
      </c>
      <c r="I535" s="498">
        <v>12.81</v>
      </c>
      <c r="J535" s="499">
        <v>0.47</v>
      </c>
      <c r="K535" s="499">
        <f t="shared" ref="K535:K547" si="201">H535*I535-J535</f>
        <v>25619.53</v>
      </c>
      <c r="L535" s="497"/>
      <c r="M535" s="499"/>
    </row>
    <row r="536" spans="1:13" x14ac:dyDescent="0.25">
      <c r="A536" s="497"/>
      <c r="B536" s="545">
        <v>42261</v>
      </c>
      <c r="C536" s="497">
        <v>200</v>
      </c>
      <c r="D536" s="498">
        <v>14.87</v>
      </c>
      <c r="E536" s="499">
        <v>0</v>
      </c>
      <c r="F536" s="499">
        <f t="shared" si="199"/>
        <v>2974</v>
      </c>
      <c r="G536" s="496">
        <v>42374</v>
      </c>
      <c r="H536" s="513">
        <v>1000</v>
      </c>
      <c r="I536" s="498">
        <v>12.82</v>
      </c>
      <c r="J536" s="499">
        <v>0.24</v>
      </c>
      <c r="K536" s="499">
        <f t="shared" si="201"/>
        <v>12819.76</v>
      </c>
      <c r="L536" s="497"/>
      <c r="M536" s="499"/>
    </row>
    <row r="537" spans="1:13" x14ac:dyDescent="0.25">
      <c r="A537" s="497"/>
      <c r="B537" s="545">
        <v>42261</v>
      </c>
      <c r="C537" s="497">
        <v>300</v>
      </c>
      <c r="D537" s="498">
        <v>14.87</v>
      </c>
      <c r="E537" s="499">
        <v>0</v>
      </c>
      <c r="F537" s="499">
        <f t="shared" si="199"/>
        <v>4461</v>
      </c>
      <c r="G537" s="496">
        <v>42398</v>
      </c>
      <c r="H537" s="513">
        <v>400</v>
      </c>
      <c r="I537" s="498">
        <v>9.5500000000000007</v>
      </c>
      <c r="J537" s="499">
        <v>7.0000000000000007E-2</v>
      </c>
      <c r="K537" s="499">
        <f t="shared" si="201"/>
        <v>3819.9300000000003</v>
      </c>
      <c r="L537" s="497"/>
      <c r="M537" s="499"/>
    </row>
    <row r="538" spans="1:13" x14ac:dyDescent="0.25">
      <c r="A538" s="497"/>
      <c r="B538" s="545">
        <v>42270</v>
      </c>
      <c r="C538" s="497">
        <v>478</v>
      </c>
      <c r="D538" s="498">
        <v>15.85</v>
      </c>
      <c r="E538" s="499">
        <v>0</v>
      </c>
      <c r="F538" s="499">
        <f t="shared" si="199"/>
        <v>7576.3</v>
      </c>
      <c r="G538" s="496">
        <v>42411</v>
      </c>
      <c r="H538" s="513">
        <v>500</v>
      </c>
      <c r="I538" s="498">
        <v>6.97</v>
      </c>
      <c r="J538" s="499">
        <v>0.08</v>
      </c>
      <c r="K538" s="499">
        <f t="shared" si="201"/>
        <v>3484.92</v>
      </c>
      <c r="L538" s="497"/>
      <c r="M538" s="499"/>
    </row>
    <row r="539" spans="1:13" x14ac:dyDescent="0.25">
      <c r="A539" s="497"/>
      <c r="B539" s="545">
        <v>42292</v>
      </c>
      <c r="C539" s="497">
        <v>500</v>
      </c>
      <c r="D539" s="498">
        <v>18.55</v>
      </c>
      <c r="E539" s="499">
        <v>0</v>
      </c>
      <c r="F539" s="499">
        <f t="shared" si="199"/>
        <v>9275</v>
      </c>
      <c r="G539" s="496">
        <v>42412</v>
      </c>
      <c r="H539" s="513">
        <v>200</v>
      </c>
      <c r="I539" s="498">
        <v>7.45</v>
      </c>
      <c r="J539" s="499">
        <v>0.03</v>
      </c>
      <c r="K539" s="499">
        <f t="shared" si="201"/>
        <v>1489.97</v>
      </c>
      <c r="L539" s="497"/>
      <c r="M539" s="499"/>
    </row>
    <row r="540" spans="1:13" x14ac:dyDescent="0.25">
      <c r="A540" s="497"/>
      <c r="B540" s="545">
        <v>42299</v>
      </c>
      <c r="C540" s="497">
        <v>500</v>
      </c>
      <c r="D540" s="498">
        <v>18.55</v>
      </c>
      <c r="E540" s="499">
        <v>0</v>
      </c>
      <c r="F540" s="499">
        <f t="shared" si="199"/>
        <v>9275</v>
      </c>
      <c r="G540" s="496">
        <v>42416</v>
      </c>
      <c r="H540" s="513">
        <v>500</v>
      </c>
      <c r="I540" s="498">
        <v>7.75</v>
      </c>
      <c r="J540" s="499">
        <v>0.08</v>
      </c>
      <c r="K540" s="499">
        <f t="shared" si="201"/>
        <v>3874.92</v>
      </c>
      <c r="L540" s="497"/>
      <c r="M540" s="499"/>
    </row>
    <row r="541" spans="1:13" x14ac:dyDescent="0.25">
      <c r="A541" s="497"/>
      <c r="B541" s="545">
        <v>42299</v>
      </c>
      <c r="C541" s="497">
        <v>500</v>
      </c>
      <c r="D541" s="498">
        <v>18.28</v>
      </c>
      <c r="E541" s="499">
        <v>0</v>
      </c>
      <c r="F541" s="499">
        <f t="shared" si="199"/>
        <v>9140</v>
      </c>
      <c r="G541" s="496">
        <v>42422</v>
      </c>
      <c r="H541" s="513">
        <v>2500</v>
      </c>
      <c r="I541" s="498">
        <v>7.47</v>
      </c>
      <c r="J541" s="499">
        <v>0.41</v>
      </c>
      <c r="K541" s="499">
        <f t="shared" si="201"/>
        <v>18674.59</v>
      </c>
      <c r="L541" s="497"/>
      <c r="M541" s="499"/>
    </row>
    <row r="542" spans="1:13" x14ac:dyDescent="0.25">
      <c r="A542" s="497"/>
      <c r="B542" s="545">
        <v>42299</v>
      </c>
      <c r="C542" s="497">
        <v>1000</v>
      </c>
      <c r="D542" s="498">
        <v>18.100000000000001</v>
      </c>
      <c r="E542" s="499">
        <v>0</v>
      </c>
      <c r="F542" s="499">
        <f t="shared" si="199"/>
        <v>18100</v>
      </c>
      <c r="G542" s="496">
        <v>42422</v>
      </c>
      <c r="H542" s="513">
        <v>1000</v>
      </c>
      <c r="I542" s="498">
        <v>7.49</v>
      </c>
      <c r="J542" s="499">
        <v>0.16</v>
      </c>
      <c r="K542" s="499">
        <f t="shared" si="201"/>
        <v>7489.84</v>
      </c>
      <c r="L542" s="497"/>
      <c r="M542" s="499"/>
    </row>
    <row r="543" spans="1:13" x14ac:dyDescent="0.25">
      <c r="A543" s="497"/>
      <c r="B543" s="608">
        <v>42306</v>
      </c>
      <c r="C543" s="497">
        <v>660</v>
      </c>
      <c r="D543" s="498">
        <v>17.8</v>
      </c>
      <c r="E543" s="499">
        <v>0</v>
      </c>
      <c r="F543" s="499">
        <f t="shared" si="199"/>
        <v>11748</v>
      </c>
      <c r="G543" s="496">
        <v>42426</v>
      </c>
      <c r="H543" s="513">
        <v>900</v>
      </c>
      <c r="I543" s="498">
        <v>7.7</v>
      </c>
      <c r="J543" s="499">
        <v>0.15</v>
      </c>
      <c r="K543" s="499">
        <f t="shared" si="201"/>
        <v>6929.85</v>
      </c>
      <c r="L543" s="497"/>
      <c r="M543" s="499"/>
    </row>
    <row r="544" spans="1:13" ht="30" x14ac:dyDescent="0.25">
      <c r="A544" s="497"/>
      <c r="B544" s="608"/>
      <c r="C544" s="497">
        <v>340</v>
      </c>
      <c r="D544" s="498">
        <v>17.8</v>
      </c>
      <c r="E544" s="499">
        <v>0</v>
      </c>
      <c r="F544" s="499">
        <f t="shared" si="199"/>
        <v>6052</v>
      </c>
      <c r="G544" s="611" t="s">
        <v>181</v>
      </c>
      <c r="H544" s="513">
        <v>500</v>
      </c>
      <c r="I544" s="498">
        <v>7.73</v>
      </c>
      <c r="J544" s="499">
        <v>0.08</v>
      </c>
      <c r="K544" s="499">
        <f t="shared" si="201"/>
        <v>3864.92</v>
      </c>
      <c r="L544" s="497"/>
      <c r="M544" s="499"/>
    </row>
    <row r="545" spans="1:13" x14ac:dyDescent="0.25">
      <c r="A545" s="497"/>
      <c r="B545" s="545">
        <v>42312</v>
      </c>
      <c r="C545" s="594">
        <v>500</v>
      </c>
      <c r="D545" s="591">
        <v>17.559999999999999</v>
      </c>
      <c r="E545" s="592">
        <v>6.95</v>
      </c>
      <c r="F545" s="592">
        <f t="shared" si="199"/>
        <v>8786.9500000000007</v>
      </c>
      <c r="G545" s="611"/>
      <c r="H545" s="513">
        <v>500</v>
      </c>
      <c r="I545" s="498">
        <v>7.96</v>
      </c>
      <c r="J545" s="499">
        <v>0.09</v>
      </c>
      <c r="K545" s="499">
        <f t="shared" si="201"/>
        <v>3979.91</v>
      </c>
      <c r="L545" s="497"/>
      <c r="M545" s="499"/>
    </row>
    <row r="546" spans="1:13" x14ac:dyDescent="0.25">
      <c r="A546" s="497"/>
      <c r="B546" s="545">
        <v>42313</v>
      </c>
      <c r="C546" s="497">
        <v>3000</v>
      </c>
      <c r="D546" s="498">
        <v>19.05</v>
      </c>
      <c r="E546" s="499">
        <v>0</v>
      </c>
      <c r="F546" s="499">
        <f t="shared" si="199"/>
        <v>57150</v>
      </c>
      <c r="G546" s="611"/>
      <c r="H546" s="513">
        <v>500</v>
      </c>
      <c r="I546" s="498">
        <v>8.0299999999999994</v>
      </c>
      <c r="J546" s="499">
        <v>0.09</v>
      </c>
      <c r="K546" s="499">
        <f t="shared" si="201"/>
        <v>4014.9099999999994</v>
      </c>
      <c r="L546" s="497"/>
      <c r="M546" s="498"/>
    </row>
    <row r="547" spans="1:13" x14ac:dyDescent="0.25">
      <c r="A547" s="497"/>
      <c r="B547" s="545">
        <v>42320</v>
      </c>
      <c r="C547" s="497">
        <v>500</v>
      </c>
      <c r="D547" s="498">
        <v>18.079999999999998</v>
      </c>
      <c r="E547" s="499">
        <v>0</v>
      </c>
      <c r="F547" s="499">
        <f t="shared" si="199"/>
        <v>9040</v>
      </c>
      <c r="G547" s="611"/>
      <c r="H547" s="513">
        <v>1500</v>
      </c>
      <c r="I547" s="498">
        <v>8.1</v>
      </c>
      <c r="J547" s="499">
        <v>0.26</v>
      </c>
      <c r="K547" s="499">
        <f t="shared" si="201"/>
        <v>12149.74</v>
      </c>
      <c r="L547" s="497"/>
      <c r="M547" s="499"/>
    </row>
    <row r="548" spans="1:13" x14ac:dyDescent="0.25">
      <c r="A548" s="497"/>
      <c r="B548" s="545">
        <v>42320</v>
      </c>
      <c r="C548" s="497">
        <v>1000</v>
      </c>
      <c r="D548" s="498">
        <v>18.05</v>
      </c>
      <c r="E548" s="499">
        <v>0</v>
      </c>
      <c r="F548" s="499">
        <f t="shared" si="199"/>
        <v>18050</v>
      </c>
      <c r="G548" s="496">
        <v>42429</v>
      </c>
      <c r="H548" s="513">
        <v>1000</v>
      </c>
      <c r="I548" s="498">
        <v>8.5399999999999991</v>
      </c>
      <c r="J548" s="499">
        <v>0.19</v>
      </c>
      <c r="K548" s="499">
        <f>H548*I548-J548</f>
        <v>8539.81</v>
      </c>
      <c r="L548" s="497"/>
      <c r="M548" s="595"/>
    </row>
    <row r="549" spans="1:13" x14ac:dyDescent="0.25">
      <c r="A549" s="497"/>
      <c r="B549" s="545">
        <v>42320</v>
      </c>
      <c r="C549" s="497">
        <v>1000</v>
      </c>
      <c r="D549" s="498">
        <v>17.82</v>
      </c>
      <c r="E549" s="499">
        <v>0</v>
      </c>
      <c r="F549" s="499">
        <f t="shared" si="199"/>
        <v>17820</v>
      </c>
      <c r="G549" s="496">
        <v>42429</v>
      </c>
      <c r="H549" s="513">
        <v>500</v>
      </c>
      <c r="I549" s="498">
        <v>7.95</v>
      </c>
      <c r="J549" s="499">
        <v>0.09</v>
      </c>
      <c r="K549" s="499">
        <f>H549*I549-J549</f>
        <v>3974.91</v>
      </c>
      <c r="L549" s="497"/>
      <c r="M549" s="499"/>
    </row>
    <row r="550" spans="1:13" x14ac:dyDescent="0.25">
      <c r="A550" s="497"/>
      <c r="B550" s="545">
        <v>42328</v>
      </c>
      <c r="C550" s="497">
        <v>3078</v>
      </c>
      <c r="D550" s="498">
        <v>17.47</v>
      </c>
      <c r="E550" s="499">
        <v>0</v>
      </c>
      <c r="F550" s="499">
        <f t="shared" si="199"/>
        <v>53772.659999999996</v>
      </c>
      <c r="G550" s="496">
        <v>42429</v>
      </c>
      <c r="H550" s="513">
        <v>500</v>
      </c>
      <c r="I550" s="498">
        <v>7.97</v>
      </c>
      <c r="J550" s="499">
        <v>0.09</v>
      </c>
      <c r="K550" s="499">
        <f t="shared" ref="K550:K609" si="202">H550*I550-J550</f>
        <v>3984.91</v>
      </c>
      <c r="L550" s="497"/>
      <c r="M550" s="499"/>
    </row>
    <row r="551" spans="1:13" x14ac:dyDescent="0.25">
      <c r="A551" s="497"/>
      <c r="B551" s="545">
        <v>42340</v>
      </c>
      <c r="C551" s="497">
        <v>3078</v>
      </c>
      <c r="D551" s="498">
        <v>17.739999999999998</v>
      </c>
      <c r="E551" s="499">
        <v>0</v>
      </c>
      <c r="F551" s="499">
        <f t="shared" si="199"/>
        <v>54603.719999999994</v>
      </c>
      <c r="G551" s="496">
        <v>42430</v>
      </c>
      <c r="H551" s="513">
        <v>500</v>
      </c>
      <c r="I551" s="498">
        <v>7.85</v>
      </c>
      <c r="J551" s="499">
        <v>0.09</v>
      </c>
      <c r="K551" s="499">
        <f t="shared" si="202"/>
        <v>3924.91</v>
      </c>
      <c r="L551" s="497"/>
      <c r="M551" s="499"/>
    </row>
    <row r="552" spans="1:13" x14ac:dyDescent="0.25">
      <c r="A552" s="497"/>
      <c r="B552" s="545">
        <v>42340</v>
      </c>
      <c r="C552" s="497">
        <v>500</v>
      </c>
      <c r="D552" s="498">
        <v>17.5</v>
      </c>
      <c r="E552" s="499">
        <v>0</v>
      </c>
      <c r="F552" s="499">
        <f t="shared" si="199"/>
        <v>8750</v>
      </c>
      <c r="G552" s="496">
        <v>42430</v>
      </c>
      <c r="H552" s="513">
        <v>500</v>
      </c>
      <c r="I552" s="498">
        <v>8.0299999999999994</v>
      </c>
      <c r="J552" s="499">
        <v>0.09</v>
      </c>
      <c r="K552" s="499">
        <f t="shared" si="202"/>
        <v>4014.9099999999994</v>
      </c>
      <c r="L552" s="499"/>
      <c r="M552" s="499"/>
    </row>
    <row r="553" spans="1:13" x14ac:dyDescent="0.25">
      <c r="A553" s="497"/>
      <c r="B553" s="545">
        <v>42345</v>
      </c>
      <c r="C553" s="497">
        <v>100</v>
      </c>
      <c r="D553" s="498">
        <v>16.7</v>
      </c>
      <c r="E553" s="499">
        <v>0</v>
      </c>
      <c r="F553" s="499">
        <f t="shared" si="199"/>
        <v>1670</v>
      </c>
      <c r="G553" s="496">
        <v>42431</v>
      </c>
      <c r="H553" s="513">
        <v>500</v>
      </c>
      <c r="I553" s="498">
        <v>8.3800000000000008</v>
      </c>
      <c r="J553" s="499">
        <v>0.09</v>
      </c>
      <c r="K553" s="499">
        <f t="shared" si="202"/>
        <v>4189.91</v>
      </c>
      <c r="L553" s="499"/>
      <c r="M553" s="499"/>
    </row>
    <row r="554" spans="1:13" x14ac:dyDescent="0.25">
      <c r="A554" s="497"/>
      <c r="B554" s="545">
        <v>42345</v>
      </c>
      <c r="C554" s="497">
        <v>500</v>
      </c>
      <c r="D554" s="498">
        <v>16.850000000000001</v>
      </c>
      <c r="E554" s="499">
        <v>0</v>
      </c>
      <c r="F554" s="499">
        <f t="shared" si="199"/>
        <v>8425</v>
      </c>
      <c r="G554" s="496">
        <v>42431</v>
      </c>
      <c r="H554" s="513">
        <v>500</v>
      </c>
      <c r="I554" s="498">
        <v>8.58</v>
      </c>
      <c r="J554" s="499">
        <v>0.09</v>
      </c>
      <c r="K554" s="499">
        <f t="shared" si="202"/>
        <v>4289.91</v>
      </c>
      <c r="L554" s="497"/>
      <c r="M554" s="499"/>
    </row>
    <row r="555" spans="1:13" ht="30" x14ac:dyDescent="0.25">
      <c r="A555" s="497"/>
      <c r="B555" s="545">
        <v>42347</v>
      </c>
      <c r="C555" s="497">
        <v>500</v>
      </c>
      <c r="D555" s="498">
        <v>15.84</v>
      </c>
      <c r="E555" s="499">
        <v>0</v>
      </c>
      <c r="F555" s="499">
        <f t="shared" si="199"/>
        <v>7920</v>
      </c>
      <c r="G555" s="610" t="s">
        <v>183</v>
      </c>
      <c r="H555" s="513">
        <v>400</v>
      </c>
      <c r="I555" s="498">
        <v>9.09</v>
      </c>
      <c r="J555" s="499">
        <v>0.1</v>
      </c>
      <c r="K555" s="499">
        <f t="shared" si="202"/>
        <v>3635.9</v>
      </c>
      <c r="L555" s="497"/>
      <c r="M555" s="499"/>
    </row>
    <row r="556" spans="1:13" x14ac:dyDescent="0.25">
      <c r="A556" s="497"/>
      <c r="B556" s="545">
        <v>42348</v>
      </c>
      <c r="C556" s="497">
        <v>500</v>
      </c>
      <c r="D556" s="498">
        <v>14.78</v>
      </c>
      <c r="E556" s="499">
        <v>0</v>
      </c>
      <c r="F556" s="499">
        <f t="shared" si="199"/>
        <v>7390</v>
      </c>
      <c r="G556" s="610"/>
      <c r="H556" s="513">
        <v>100</v>
      </c>
      <c r="I556" s="498">
        <v>9.09</v>
      </c>
      <c r="J556" s="499">
        <v>0</v>
      </c>
      <c r="K556" s="499">
        <f t="shared" si="202"/>
        <v>909</v>
      </c>
      <c r="L556" s="497"/>
      <c r="M556" s="499"/>
    </row>
    <row r="557" spans="1:13" x14ac:dyDescent="0.25">
      <c r="A557" s="497"/>
      <c r="B557" s="545">
        <v>42352</v>
      </c>
      <c r="C557" s="497">
        <v>100</v>
      </c>
      <c r="D557" s="498">
        <v>14.57</v>
      </c>
      <c r="E557" s="499">
        <v>0</v>
      </c>
      <c r="F557" s="499">
        <f t="shared" si="199"/>
        <v>1457</v>
      </c>
      <c r="G557" s="610"/>
      <c r="H557" s="513">
        <v>500</v>
      </c>
      <c r="I557" s="498">
        <v>8.81</v>
      </c>
      <c r="J557" s="499">
        <v>0.1</v>
      </c>
      <c r="K557" s="499">
        <f t="shared" si="202"/>
        <v>4404.8999999999996</v>
      </c>
      <c r="L557" s="497"/>
      <c r="M557" s="499"/>
    </row>
    <row r="558" spans="1:13" x14ac:dyDescent="0.25">
      <c r="A558" s="497"/>
      <c r="B558" s="545">
        <v>42355</v>
      </c>
      <c r="C558" s="497">
        <v>500</v>
      </c>
      <c r="D558" s="498">
        <v>13.89</v>
      </c>
      <c r="E558" s="499">
        <v>0</v>
      </c>
      <c r="F558" s="499">
        <f t="shared" si="199"/>
        <v>6945</v>
      </c>
      <c r="G558" s="496">
        <v>42432</v>
      </c>
      <c r="H558" s="513">
        <v>600</v>
      </c>
      <c r="I558" s="498">
        <v>9.65</v>
      </c>
      <c r="J558" s="499">
        <v>0.13</v>
      </c>
      <c r="K558" s="499">
        <f t="shared" si="202"/>
        <v>5789.87</v>
      </c>
      <c r="L558" s="497"/>
      <c r="M558" s="499"/>
    </row>
    <row r="559" spans="1:13" x14ac:dyDescent="0.25">
      <c r="A559" s="497"/>
      <c r="B559" s="545">
        <v>42360</v>
      </c>
      <c r="C559" s="497">
        <v>500</v>
      </c>
      <c r="D559" s="498">
        <v>12.95</v>
      </c>
      <c r="E559" s="499">
        <v>0</v>
      </c>
      <c r="F559" s="499">
        <f t="shared" si="199"/>
        <v>6475</v>
      </c>
      <c r="G559" s="496">
        <v>42433</v>
      </c>
      <c r="H559" s="513">
        <v>600</v>
      </c>
      <c r="I559" s="498">
        <v>10.45</v>
      </c>
      <c r="J559" s="499">
        <v>0.14000000000000001</v>
      </c>
      <c r="K559" s="499">
        <f t="shared" si="202"/>
        <v>6269.86</v>
      </c>
      <c r="L559" s="497"/>
      <c r="M559" s="499"/>
    </row>
    <row r="560" spans="1:13" x14ac:dyDescent="0.25">
      <c r="A560" s="497"/>
      <c r="B560" s="545">
        <v>42361</v>
      </c>
      <c r="C560" s="497">
        <v>500</v>
      </c>
      <c r="D560" s="498">
        <v>12.75</v>
      </c>
      <c r="E560" s="499">
        <v>0</v>
      </c>
      <c r="F560" s="499">
        <f t="shared" si="199"/>
        <v>6375</v>
      </c>
      <c r="G560" s="496">
        <v>42440</v>
      </c>
      <c r="H560" s="513">
        <v>400</v>
      </c>
      <c r="I560" s="498">
        <v>11.25</v>
      </c>
      <c r="J560" s="499">
        <v>0.1</v>
      </c>
      <c r="K560" s="499">
        <f t="shared" si="202"/>
        <v>4499.8999999999996</v>
      </c>
      <c r="L560" s="497"/>
      <c r="M560" s="499"/>
    </row>
    <row r="561" spans="1:13" x14ac:dyDescent="0.25">
      <c r="A561" s="497"/>
      <c r="B561" s="545">
        <v>42361</v>
      </c>
      <c r="C561" s="497">
        <v>500</v>
      </c>
      <c r="D561" s="498">
        <v>12.8</v>
      </c>
      <c r="E561" s="499">
        <v>0</v>
      </c>
      <c r="F561" s="499">
        <f t="shared" si="199"/>
        <v>6400</v>
      </c>
      <c r="G561" s="496">
        <v>42446</v>
      </c>
      <c r="H561" s="513">
        <v>1500</v>
      </c>
      <c r="I561" s="498">
        <v>11.49</v>
      </c>
      <c r="J561" s="499">
        <v>0.38</v>
      </c>
      <c r="K561" s="499">
        <f t="shared" si="202"/>
        <v>17234.62</v>
      </c>
      <c r="L561" s="497"/>
      <c r="M561" s="499"/>
    </row>
    <row r="562" spans="1:13" x14ac:dyDescent="0.25">
      <c r="A562" s="497"/>
      <c r="B562" s="545">
        <v>42361</v>
      </c>
      <c r="C562" s="497">
        <v>1000</v>
      </c>
      <c r="D562" s="498">
        <v>12.67</v>
      </c>
      <c r="E562" s="499">
        <v>0</v>
      </c>
      <c r="F562" s="499">
        <f t="shared" si="199"/>
        <v>12670</v>
      </c>
      <c r="G562" s="496">
        <v>42447</v>
      </c>
      <c r="H562" s="513">
        <v>1500</v>
      </c>
      <c r="I562" s="498">
        <v>11.44</v>
      </c>
      <c r="J562" s="499">
        <v>0.37</v>
      </c>
      <c r="K562" s="499">
        <f t="shared" si="202"/>
        <v>17159.63</v>
      </c>
      <c r="L562" s="497"/>
      <c r="M562" s="499"/>
    </row>
    <row r="563" spans="1:13" x14ac:dyDescent="0.25">
      <c r="A563" s="497"/>
      <c r="B563" s="545">
        <v>42361</v>
      </c>
      <c r="C563" s="497">
        <v>222</v>
      </c>
      <c r="D563" s="498">
        <v>12.44</v>
      </c>
      <c r="E563" s="499">
        <v>0</v>
      </c>
      <c r="F563" s="499">
        <f t="shared" si="199"/>
        <v>2761.68</v>
      </c>
      <c r="G563" s="496">
        <v>42447</v>
      </c>
      <c r="H563" s="513">
        <v>500</v>
      </c>
      <c r="I563" s="498">
        <v>11.484999999999999</v>
      </c>
      <c r="J563" s="499">
        <v>0.13</v>
      </c>
      <c r="K563" s="499">
        <f t="shared" si="202"/>
        <v>5742.37</v>
      </c>
      <c r="L563" s="497"/>
      <c r="M563" s="499"/>
    </row>
    <row r="564" spans="1:13" x14ac:dyDescent="0.25">
      <c r="A564" s="497"/>
      <c r="B564" s="545">
        <v>42367</v>
      </c>
      <c r="C564" s="497">
        <v>2178</v>
      </c>
      <c r="D564" s="498">
        <v>13.68</v>
      </c>
      <c r="E564" s="499">
        <v>0</v>
      </c>
      <c r="F564" s="499">
        <f t="shared" si="199"/>
        <v>29795.040000000001</v>
      </c>
      <c r="G564" s="609">
        <v>42447</v>
      </c>
      <c r="H564" s="513">
        <v>650</v>
      </c>
      <c r="I564" s="498">
        <v>11.56</v>
      </c>
      <c r="J564" s="499">
        <v>0.25</v>
      </c>
      <c r="K564" s="499">
        <f t="shared" si="202"/>
        <v>7513.75</v>
      </c>
      <c r="L564" s="497"/>
      <c r="M564" s="499"/>
    </row>
    <row r="565" spans="1:13" x14ac:dyDescent="0.25">
      <c r="A565" s="497"/>
      <c r="B565" s="545">
        <v>42369</v>
      </c>
      <c r="C565" s="497">
        <v>2500</v>
      </c>
      <c r="D565" s="498">
        <v>13.04</v>
      </c>
      <c r="E565" s="499">
        <v>0</v>
      </c>
      <c r="F565" s="499">
        <f t="shared" si="199"/>
        <v>32599.999999999996</v>
      </c>
      <c r="G565" s="609"/>
      <c r="H565" s="513">
        <v>350</v>
      </c>
      <c r="I565" s="498">
        <v>11.56</v>
      </c>
      <c r="J565" s="499">
        <v>0</v>
      </c>
      <c r="K565" s="499">
        <f t="shared" si="202"/>
        <v>4046</v>
      </c>
      <c r="L565" s="497"/>
      <c r="M565" s="499"/>
    </row>
    <row r="566" spans="1:13" x14ac:dyDescent="0.25">
      <c r="A566" s="497"/>
      <c r="B566" s="545">
        <v>42008</v>
      </c>
      <c r="C566" s="497">
        <v>2000</v>
      </c>
      <c r="D566" s="498">
        <v>13.01</v>
      </c>
      <c r="E566" s="499">
        <v>0</v>
      </c>
      <c r="F566" s="499">
        <f t="shared" si="199"/>
        <v>26020</v>
      </c>
      <c r="G566" s="496">
        <v>42447</v>
      </c>
      <c r="H566" s="513">
        <v>1000</v>
      </c>
      <c r="I566" s="498">
        <v>11.62</v>
      </c>
      <c r="J566" s="499">
        <v>0.25</v>
      </c>
      <c r="K566" s="499">
        <f t="shared" si="202"/>
        <v>11619.75</v>
      </c>
      <c r="L566" s="497"/>
      <c r="M566" s="499"/>
    </row>
    <row r="567" spans="1:13" x14ac:dyDescent="0.25">
      <c r="A567" s="497"/>
      <c r="B567" s="545">
        <v>42009</v>
      </c>
      <c r="C567" s="497">
        <v>500</v>
      </c>
      <c r="D567" s="498">
        <v>12.62</v>
      </c>
      <c r="E567" s="499">
        <v>0</v>
      </c>
      <c r="F567" s="499">
        <f t="shared" si="199"/>
        <v>6310</v>
      </c>
      <c r="G567" s="496">
        <v>42451</v>
      </c>
      <c r="H567" s="513">
        <v>1000</v>
      </c>
      <c r="I567" s="498">
        <v>11.45</v>
      </c>
      <c r="J567" s="499">
        <v>0.25</v>
      </c>
      <c r="K567" s="499">
        <f t="shared" si="202"/>
        <v>11449.75</v>
      </c>
      <c r="L567" s="497"/>
      <c r="M567" s="499"/>
    </row>
    <row r="568" spans="1:13" x14ac:dyDescent="0.25">
      <c r="A568" s="497"/>
      <c r="B568" s="545">
        <v>42009</v>
      </c>
      <c r="C568" s="497">
        <v>500</v>
      </c>
      <c r="D568" s="498">
        <v>12.45</v>
      </c>
      <c r="E568" s="499">
        <v>0</v>
      </c>
      <c r="F568" s="499">
        <f t="shared" si="199"/>
        <v>6225</v>
      </c>
      <c r="G568" s="496">
        <v>42451</v>
      </c>
      <c r="H568" s="513">
        <v>50</v>
      </c>
      <c r="I568" s="498">
        <v>11.28</v>
      </c>
      <c r="J568" s="499">
        <v>0.01</v>
      </c>
      <c r="K568" s="499">
        <f t="shared" si="202"/>
        <v>563.99</v>
      </c>
      <c r="L568" s="497"/>
      <c r="M568" s="499"/>
    </row>
    <row r="569" spans="1:13" x14ac:dyDescent="0.25">
      <c r="A569" s="497"/>
      <c r="B569" s="596">
        <v>42374</v>
      </c>
      <c r="C569" s="497">
        <v>2000</v>
      </c>
      <c r="D569" s="498">
        <v>12.73</v>
      </c>
      <c r="E569" s="499">
        <v>0</v>
      </c>
      <c r="F569" s="499">
        <f t="shared" ref="F569:F632" si="203">C569*D569+E569</f>
        <v>25460</v>
      </c>
      <c r="G569" s="496">
        <v>42459</v>
      </c>
      <c r="H569" s="513">
        <v>2000</v>
      </c>
      <c r="I569" s="498">
        <v>10.75</v>
      </c>
      <c r="J569" s="499">
        <v>0.47</v>
      </c>
      <c r="K569" s="499">
        <f t="shared" si="202"/>
        <v>21499.53</v>
      </c>
      <c r="L569" s="497"/>
      <c r="M569" s="499"/>
    </row>
    <row r="570" spans="1:13" x14ac:dyDescent="0.25">
      <c r="A570" s="497"/>
      <c r="B570" s="545">
        <v>42375</v>
      </c>
      <c r="C570" s="497">
        <v>1000</v>
      </c>
      <c r="D570" s="498">
        <v>12.5</v>
      </c>
      <c r="E570" s="499">
        <v>0</v>
      </c>
      <c r="F570" s="499">
        <f t="shared" si="203"/>
        <v>12500</v>
      </c>
      <c r="G570" s="496">
        <v>42460</v>
      </c>
      <c r="H570" s="513">
        <v>1600</v>
      </c>
      <c r="I570" s="498">
        <v>10.95</v>
      </c>
      <c r="J570" s="499">
        <v>2.88</v>
      </c>
      <c r="K570" s="499">
        <f t="shared" si="202"/>
        <v>17517.12</v>
      </c>
      <c r="L570" s="497"/>
      <c r="M570" s="499"/>
    </row>
    <row r="571" spans="1:13" x14ac:dyDescent="0.25">
      <c r="A571" s="497"/>
      <c r="B571" s="545">
        <v>42375</v>
      </c>
      <c r="C571" s="497">
        <v>1000</v>
      </c>
      <c r="D571" s="498">
        <v>11.7</v>
      </c>
      <c r="E571" s="499">
        <v>0</v>
      </c>
      <c r="F571" s="499">
        <f t="shared" si="203"/>
        <v>11700</v>
      </c>
      <c r="G571" s="496">
        <v>42461</v>
      </c>
      <c r="H571" s="513">
        <v>2000</v>
      </c>
      <c r="I571" s="498">
        <v>10.52</v>
      </c>
      <c r="J571" s="499">
        <v>0.46</v>
      </c>
      <c r="K571" s="499">
        <f t="shared" si="202"/>
        <v>21039.54</v>
      </c>
      <c r="L571" s="497"/>
      <c r="M571" s="499"/>
    </row>
    <row r="572" spans="1:13" x14ac:dyDescent="0.25">
      <c r="A572" s="497"/>
      <c r="B572" s="545">
        <v>42402</v>
      </c>
      <c r="C572" s="497">
        <v>400</v>
      </c>
      <c r="D572" s="498">
        <v>9.1</v>
      </c>
      <c r="E572" s="499">
        <v>0</v>
      </c>
      <c r="F572" s="499">
        <f t="shared" si="203"/>
        <v>3640</v>
      </c>
      <c r="G572" s="496">
        <v>42461</v>
      </c>
      <c r="H572" s="513">
        <v>2000</v>
      </c>
      <c r="I572" s="498">
        <v>10.55</v>
      </c>
      <c r="J572" s="499">
        <v>0.46</v>
      </c>
      <c r="K572" s="499">
        <f t="shared" si="202"/>
        <v>21099.54</v>
      </c>
      <c r="L572" s="497"/>
      <c r="M572" s="499"/>
    </row>
    <row r="573" spans="1:13" x14ac:dyDescent="0.25">
      <c r="A573" s="497"/>
      <c r="B573" s="545">
        <v>42411</v>
      </c>
      <c r="C573" s="497">
        <v>500</v>
      </c>
      <c r="D573" s="498">
        <v>6.835</v>
      </c>
      <c r="E573" s="499">
        <v>0</v>
      </c>
      <c r="F573" s="499">
        <f t="shared" si="203"/>
        <v>3417.5</v>
      </c>
      <c r="G573" s="496">
        <v>42465</v>
      </c>
      <c r="H573" s="513">
        <v>100</v>
      </c>
      <c r="I573" s="498">
        <v>10.75</v>
      </c>
      <c r="J573" s="499">
        <v>0.02</v>
      </c>
      <c r="K573" s="499">
        <f t="shared" si="202"/>
        <v>1074.98</v>
      </c>
      <c r="L573" s="497"/>
      <c r="M573" s="499"/>
    </row>
    <row r="574" spans="1:13" x14ac:dyDescent="0.25">
      <c r="A574" s="497"/>
      <c r="B574" s="545">
        <v>42412</v>
      </c>
      <c r="C574" s="497">
        <v>200</v>
      </c>
      <c r="D574" s="498">
        <v>7.23</v>
      </c>
      <c r="E574" s="499">
        <v>0</v>
      </c>
      <c r="F574" s="499">
        <f t="shared" si="203"/>
        <v>1446</v>
      </c>
      <c r="G574" s="496">
        <v>42468</v>
      </c>
      <c r="H574" s="513">
        <v>1000</v>
      </c>
      <c r="I574" s="498">
        <v>11.77</v>
      </c>
      <c r="J574" s="499">
        <v>0.26</v>
      </c>
      <c r="K574" s="499">
        <f t="shared" si="202"/>
        <v>11769.74</v>
      </c>
      <c r="L574" s="497"/>
      <c r="M574" s="499"/>
    </row>
    <row r="575" spans="1:13" x14ac:dyDescent="0.25">
      <c r="A575" s="497"/>
      <c r="B575" s="545">
        <v>42416</v>
      </c>
      <c r="C575" s="497">
        <v>500</v>
      </c>
      <c r="D575" s="498">
        <v>7.5</v>
      </c>
      <c r="E575" s="499">
        <v>0</v>
      </c>
      <c r="F575" s="499">
        <f t="shared" si="203"/>
        <v>3750</v>
      </c>
      <c r="G575" s="609">
        <v>42472</v>
      </c>
      <c r="H575" s="513">
        <v>420</v>
      </c>
      <c r="I575" s="498">
        <v>13.35</v>
      </c>
      <c r="J575" s="499">
        <v>0.15</v>
      </c>
      <c r="K575" s="499">
        <f t="shared" si="202"/>
        <v>5606.85</v>
      </c>
      <c r="L575" s="497"/>
      <c r="M575" s="499"/>
    </row>
    <row r="576" spans="1:13" ht="30" x14ac:dyDescent="0.25">
      <c r="A576" s="497"/>
      <c r="B576" s="612" t="s">
        <v>179</v>
      </c>
      <c r="C576" s="497">
        <v>3000</v>
      </c>
      <c r="D576" s="498">
        <v>7.55</v>
      </c>
      <c r="E576" s="499">
        <v>0</v>
      </c>
      <c r="F576" s="499">
        <f t="shared" si="203"/>
        <v>22650</v>
      </c>
      <c r="G576" s="609"/>
      <c r="H576" s="513">
        <v>80</v>
      </c>
      <c r="I576" s="498">
        <v>13.35</v>
      </c>
      <c r="J576" s="499">
        <v>0</v>
      </c>
      <c r="K576" s="499">
        <f t="shared" si="202"/>
        <v>1068</v>
      </c>
      <c r="L576" s="497"/>
      <c r="M576" s="499"/>
    </row>
    <row r="577" spans="1:13" x14ac:dyDescent="0.25">
      <c r="A577" s="497"/>
      <c r="B577" s="612"/>
      <c r="C577" s="497">
        <v>500</v>
      </c>
      <c r="D577" s="498">
        <v>6.75</v>
      </c>
      <c r="E577" s="499">
        <v>0</v>
      </c>
      <c r="F577" s="499">
        <f t="shared" si="203"/>
        <v>3375</v>
      </c>
      <c r="G577" s="496">
        <v>42472</v>
      </c>
      <c r="H577" s="513">
        <v>500</v>
      </c>
      <c r="I577" s="498">
        <v>13.15</v>
      </c>
      <c r="J577" s="499">
        <v>0.14000000000000001</v>
      </c>
      <c r="K577" s="499">
        <f t="shared" si="202"/>
        <v>6574.86</v>
      </c>
      <c r="L577" s="497"/>
      <c r="M577" s="499"/>
    </row>
    <row r="578" spans="1:13" x14ac:dyDescent="0.25">
      <c r="A578" s="497"/>
      <c r="B578" s="612"/>
      <c r="C578" s="497">
        <v>300</v>
      </c>
      <c r="D578" s="498">
        <v>6.75</v>
      </c>
      <c r="E578" s="499">
        <v>0</v>
      </c>
      <c r="F578" s="499">
        <f t="shared" si="203"/>
        <v>2025</v>
      </c>
      <c r="G578" s="496">
        <v>42472</v>
      </c>
      <c r="H578" s="513">
        <v>500</v>
      </c>
      <c r="I578" s="498">
        <v>12.92</v>
      </c>
      <c r="J578" s="499">
        <v>0.14000000000000001</v>
      </c>
      <c r="K578" s="499">
        <f t="shared" si="202"/>
        <v>6459.86</v>
      </c>
      <c r="L578" s="497"/>
      <c r="M578" s="499"/>
    </row>
    <row r="579" spans="1:13" x14ac:dyDescent="0.25">
      <c r="A579" s="497"/>
      <c r="B579" s="545">
        <v>42426</v>
      </c>
      <c r="C579" s="497">
        <v>600</v>
      </c>
      <c r="D579" s="498">
        <v>7.63</v>
      </c>
      <c r="E579" s="499">
        <v>0</v>
      </c>
      <c r="F579" s="499">
        <f t="shared" si="203"/>
        <v>4578</v>
      </c>
      <c r="G579" s="496">
        <v>42472</v>
      </c>
      <c r="H579" s="513">
        <v>500</v>
      </c>
      <c r="I579" s="498">
        <v>12.59</v>
      </c>
      <c r="J579" s="499">
        <v>0.14000000000000001</v>
      </c>
      <c r="K579" s="499">
        <f t="shared" si="202"/>
        <v>6294.86</v>
      </c>
      <c r="L579" s="497"/>
      <c r="M579" s="499"/>
    </row>
    <row r="580" spans="1:13" x14ac:dyDescent="0.25">
      <c r="A580" s="497"/>
      <c r="B580" s="545">
        <v>42426</v>
      </c>
      <c r="C580" s="497">
        <v>2000</v>
      </c>
      <c r="D580" s="498">
        <v>7.95</v>
      </c>
      <c r="E580" s="499">
        <v>0</v>
      </c>
      <c r="F580" s="499">
        <f t="shared" si="203"/>
        <v>15900</v>
      </c>
      <c r="G580" s="496">
        <v>42474</v>
      </c>
      <c r="H580" s="513">
        <v>500</v>
      </c>
      <c r="I580" s="498">
        <v>13.18</v>
      </c>
      <c r="J580" s="499">
        <v>0.14000000000000001</v>
      </c>
      <c r="K580" s="499">
        <f t="shared" si="202"/>
        <v>6589.86</v>
      </c>
      <c r="L580" s="497"/>
      <c r="M580" s="499"/>
    </row>
    <row r="581" spans="1:13" x14ac:dyDescent="0.25">
      <c r="A581" s="497"/>
      <c r="B581" s="545">
        <v>42429</v>
      </c>
      <c r="C581" s="497">
        <v>2000</v>
      </c>
      <c r="D581" s="498">
        <v>8.1999999999999993</v>
      </c>
      <c r="E581" s="499">
        <v>0</v>
      </c>
      <c r="F581" s="499">
        <f t="shared" si="203"/>
        <v>16400</v>
      </c>
      <c r="G581" s="496">
        <v>42478</v>
      </c>
      <c r="H581" s="513">
        <v>500</v>
      </c>
      <c r="I581" s="498">
        <v>13.4</v>
      </c>
      <c r="J581" s="499">
        <v>0.15</v>
      </c>
      <c r="K581" s="499">
        <f t="shared" si="202"/>
        <v>6699.85</v>
      </c>
      <c r="L581" s="497"/>
      <c r="M581" s="499"/>
    </row>
    <row r="582" spans="1:13" x14ac:dyDescent="0.25">
      <c r="A582" s="499"/>
      <c r="B582" s="545">
        <v>42429</v>
      </c>
      <c r="C582" s="497">
        <v>500</v>
      </c>
      <c r="D582" s="498">
        <v>7.88</v>
      </c>
      <c r="E582" s="499">
        <v>0</v>
      </c>
      <c r="F582" s="499">
        <f t="shared" si="203"/>
        <v>3940</v>
      </c>
      <c r="G582" s="496">
        <v>42486</v>
      </c>
      <c r="H582" s="513">
        <v>500</v>
      </c>
      <c r="I582" s="498">
        <v>14.35</v>
      </c>
      <c r="J582" s="499">
        <v>0.16</v>
      </c>
      <c r="K582" s="499">
        <f t="shared" si="202"/>
        <v>7174.84</v>
      </c>
      <c r="L582" s="497"/>
      <c r="M582" s="499"/>
    </row>
    <row r="583" spans="1:13" x14ac:dyDescent="0.25">
      <c r="A583" s="497"/>
      <c r="B583" s="545">
        <v>42430</v>
      </c>
      <c r="C583" s="497">
        <v>1000</v>
      </c>
      <c r="D583" s="498">
        <v>7.77</v>
      </c>
      <c r="E583" s="499">
        <v>0</v>
      </c>
      <c r="F583" s="499">
        <f t="shared" si="203"/>
        <v>7770</v>
      </c>
      <c r="G583" s="496">
        <v>42487</v>
      </c>
      <c r="H583" s="513">
        <v>600</v>
      </c>
      <c r="I583" s="498">
        <v>14.85</v>
      </c>
      <c r="J583" s="499">
        <v>0.19</v>
      </c>
      <c r="K583" s="499">
        <f t="shared" si="202"/>
        <v>8909.81</v>
      </c>
      <c r="L583" s="497"/>
      <c r="M583" s="499"/>
    </row>
    <row r="584" spans="1:13" x14ac:dyDescent="0.25">
      <c r="A584" s="497"/>
      <c r="B584" s="545">
        <v>42430</v>
      </c>
      <c r="C584" s="497">
        <v>500</v>
      </c>
      <c r="D584" s="498">
        <v>7.94</v>
      </c>
      <c r="E584" s="499">
        <v>0</v>
      </c>
      <c r="F584" s="499">
        <f t="shared" si="203"/>
        <v>3970</v>
      </c>
      <c r="G584" s="496">
        <v>42489</v>
      </c>
      <c r="H584" s="513">
        <v>3000</v>
      </c>
      <c r="I584" s="498">
        <v>14.15</v>
      </c>
      <c r="J584" s="499">
        <v>0.93</v>
      </c>
      <c r="K584" s="499">
        <f t="shared" si="202"/>
        <v>42449.07</v>
      </c>
      <c r="L584" s="497"/>
      <c r="M584" s="499"/>
    </row>
    <row r="585" spans="1:13" x14ac:dyDescent="0.25">
      <c r="A585" s="497"/>
      <c r="B585" s="545">
        <v>42431</v>
      </c>
      <c r="C585" s="497">
        <v>1000</v>
      </c>
      <c r="D585" s="498">
        <v>8.3699999999999992</v>
      </c>
      <c r="E585" s="499">
        <v>0</v>
      </c>
      <c r="F585" s="499">
        <f t="shared" si="203"/>
        <v>8370</v>
      </c>
      <c r="G585" s="496">
        <v>42492</v>
      </c>
      <c r="H585" s="513">
        <v>1000</v>
      </c>
      <c r="I585" s="498">
        <v>13.48</v>
      </c>
      <c r="J585" s="499">
        <v>0.28999999999999998</v>
      </c>
      <c r="K585" s="499">
        <f t="shared" si="202"/>
        <v>13479.71</v>
      </c>
      <c r="L585" s="497"/>
      <c r="M585" s="499"/>
    </row>
    <row r="586" spans="1:13" x14ac:dyDescent="0.25">
      <c r="A586" s="497"/>
      <c r="B586" s="545">
        <v>42432</v>
      </c>
      <c r="C586" s="497">
        <v>600</v>
      </c>
      <c r="D586" s="498">
        <v>9.3699999999999992</v>
      </c>
      <c r="E586" s="499">
        <v>0</v>
      </c>
      <c r="F586" s="499">
        <f t="shared" si="203"/>
        <v>5621.9999999999991</v>
      </c>
      <c r="G586" s="496">
        <v>42492</v>
      </c>
      <c r="H586" s="513">
        <v>1000</v>
      </c>
      <c r="I586" s="498">
        <v>13.61</v>
      </c>
      <c r="J586" s="499">
        <v>0.3</v>
      </c>
      <c r="K586" s="499">
        <f t="shared" si="202"/>
        <v>13609.7</v>
      </c>
      <c r="L586" s="497"/>
      <c r="M586" s="499"/>
    </row>
    <row r="587" spans="1:13" x14ac:dyDescent="0.25">
      <c r="A587" s="497"/>
      <c r="B587" s="545">
        <v>42432</v>
      </c>
      <c r="C587" s="497">
        <v>600</v>
      </c>
      <c r="D587" s="498">
        <v>8.8800000000000008</v>
      </c>
      <c r="E587" s="499">
        <v>0</v>
      </c>
      <c r="F587" s="499">
        <f t="shared" si="203"/>
        <v>5328.0000000000009</v>
      </c>
      <c r="G587" s="496">
        <v>42493</v>
      </c>
      <c r="H587" s="513">
        <v>322</v>
      </c>
      <c r="I587" s="498">
        <v>13.28</v>
      </c>
      <c r="J587" s="499">
        <v>0.09</v>
      </c>
      <c r="K587" s="499">
        <f t="shared" si="202"/>
        <v>4276.07</v>
      </c>
      <c r="L587" s="497"/>
      <c r="M587" s="499"/>
    </row>
    <row r="588" spans="1:13" x14ac:dyDescent="0.25">
      <c r="A588" s="497"/>
      <c r="B588" s="545">
        <v>42433</v>
      </c>
      <c r="C588" s="497">
        <v>600</v>
      </c>
      <c r="D588" s="498">
        <v>10.42</v>
      </c>
      <c r="E588" s="499">
        <v>0</v>
      </c>
      <c r="F588" s="499">
        <f t="shared" si="203"/>
        <v>6252</v>
      </c>
      <c r="G588" s="496">
        <v>42495</v>
      </c>
      <c r="H588" s="513">
        <v>1000</v>
      </c>
      <c r="I588" s="498">
        <v>12.05</v>
      </c>
      <c r="J588" s="499">
        <v>0.26</v>
      </c>
      <c r="K588" s="499">
        <f t="shared" si="202"/>
        <v>12049.74</v>
      </c>
      <c r="L588" s="497"/>
      <c r="M588" s="499"/>
    </row>
    <row r="589" spans="1:13" x14ac:dyDescent="0.25">
      <c r="A589" s="497"/>
      <c r="B589" s="545">
        <v>42440</v>
      </c>
      <c r="C589" s="497">
        <v>400</v>
      </c>
      <c r="D589" s="498">
        <v>11.12</v>
      </c>
      <c r="E589" s="499">
        <v>0</v>
      </c>
      <c r="F589" s="499">
        <f t="shared" si="203"/>
        <v>4448</v>
      </c>
      <c r="G589" s="496">
        <v>42495</v>
      </c>
      <c r="H589" s="513">
        <v>2000</v>
      </c>
      <c r="I589" s="498">
        <v>12.63</v>
      </c>
      <c r="J589" s="499">
        <v>0.55000000000000004</v>
      </c>
      <c r="K589" s="499">
        <f t="shared" si="202"/>
        <v>25259.45</v>
      </c>
      <c r="L589" s="497"/>
      <c r="M589" s="499"/>
    </row>
    <row r="590" spans="1:13" x14ac:dyDescent="0.25">
      <c r="A590" s="497"/>
      <c r="B590" s="545">
        <v>42446</v>
      </c>
      <c r="C590" s="497">
        <v>1500</v>
      </c>
      <c r="D590" s="498">
        <v>11.445</v>
      </c>
      <c r="E590" s="499">
        <v>0</v>
      </c>
      <c r="F590" s="499">
        <f t="shared" si="203"/>
        <v>17167.5</v>
      </c>
      <c r="G590" s="496">
        <v>42500</v>
      </c>
      <c r="H590" s="513">
        <v>1000</v>
      </c>
      <c r="I590" s="498">
        <v>11.66</v>
      </c>
      <c r="J590" s="499">
        <v>5.25</v>
      </c>
      <c r="K590" s="499">
        <f t="shared" si="202"/>
        <v>11654.75</v>
      </c>
      <c r="L590" s="497"/>
      <c r="M590" s="499"/>
    </row>
    <row r="591" spans="1:13" x14ac:dyDescent="0.25">
      <c r="A591" s="497"/>
      <c r="B591" s="608">
        <v>42447</v>
      </c>
      <c r="C591" s="497">
        <v>1500</v>
      </c>
      <c r="D591" s="498">
        <v>11.42</v>
      </c>
      <c r="E591" s="499">
        <v>0</v>
      </c>
      <c r="F591" s="499">
        <f t="shared" si="203"/>
        <v>17130</v>
      </c>
      <c r="G591" s="496">
        <v>42502</v>
      </c>
      <c r="H591" s="513">
        <v>1500</v>
      </c>
      <c r="I591" s="498">
        <v>12.36</v>
      </c>
      <c r="J591" s="499">
        <v>0.4</v>
      </c>
      <c r="K591" s="499">
        <f t="shared" si="202"/>
        <v>18539.599999999999</v>
      </c>
      <c r="L591" s="497"/>
      <c r="M591" s="499"/>
    </row>
    <row r="592" spans="1:13" x14ac:dyDescent="0.25">
      <c r="A592" s="497"/>
      <c r="B592" s="613"/>
      <c r="C592" s="497">
        <v>500</v>
      </c>
      <c r="D592" s="498">
        <v>11.42</v>
      </c>
      <c r="E592" s="499">
        <v>0</v>
      </c>
      <c r="F592" s="499">
        <f t="shared" si="203"/>
        <v>5710</v>
      </c>
      <c r="G592" s="496">
        <v>42503</v>
      </c>
      <c r="H592" s="513">
        <v>500</v>
      </c>
      <c r="I592" s="498">
        <v>12.49</v>
      </c>
      <c r="J592" s="499">
        <v>0.14000000000000001</v>
      </c>
      <c r="K592" s="499">
        <f t="shared" si="202"/>
        <v>6244.86</v>
      </c>
      <c r="L592" s="497"/>
      <c r="M592" s="499"/>
    </row>
    <row r="593" spans="1:13" x14ac:dyDescent="0.25">
      <c r="A593" s="497"/>
      <c r="B593" s="545">
        <v>42447</v>
      </c>
      <c r="C593" s="497">
        <v>650</v>
      </c>
      <c r="D593" s="498">
        <v>11.545</v>
      </c>
      <c r="E593" s="499">
        <v>0.75</v>
      </c>
      <c r="F593" s="499">
        <f t="shared" si="203"/>
        <v>7505</v>
      </c>
      <c r="G593" s="496">
        <v>42506</v>
      </c>
      <c r="H593" s="513">
        <v>300</v>
      </c>
      <c r="I593" s="498">
        <v>12.85</v>
      </c>
      <c r="J593" s="499">
        <v>0.08</v>
      </c>
      <c r="K593" s="499">
        <f t="shared" si="202"/>
        <v>3854.92</v>
      </c>
      <c r="L593" s="497"/>
      <c r="M593" s="499"/>
    </row>
    <row r="594" spans="1:13" x14ac:dyDescent="0.25">
      <c r="A594" s="497"/>
      <c r="B594" s="545">
        <v>42450</v>
      </c>
      <c r="C594" s="497">
        <v>1350</v>
      </c>
      <c r="D594" s="498">
        <v>11.42</v>
      </c>
      <c r="E594" s="499">
        <v>0</v>
      </c>
      <c r="F594" s="499">
        <f t="shared" si="203"/>
        <v>15417</v>
      </c>
      <c r="G594" s="496">
        <v>42513</v>
      </c>
      <c r="H594" s="513">
        <v>500</v>
      </c>
      <c r="I594" s="498">
        <v>13.05</v>
      </c>
      <c r="J594" s="499">
        <v>0.14000000000000001</v>
      </c>
      <c r="K594" s="499">
        <f t="shared" si="202"/>
        <v>6524.86</v>
      </c>
      <c r="L594" s="497"/>
      <c r="M594" s="499"/>
    </row>
    <row r="595" spans="1:13" x14ac:dyDescent="0.25">
      <c r="A595" s="497"/>
      <c r="B595" s="545">
        <v>42451</v>
      </c>
      <c r="C595" s="497">
        <v>1000</v>
      </c>
      <c r="D595" s="498">
        <v>11.38</v>
      </c>
      <c r="E595" s="499">
        <v>0</v>
      </c>
      <c r="F595" s="499">
        <f t="shared" si="203"/>
        <v>11380</v>
      </c>
      <c r="G595" s="496">
        <v>42515</v>
      </c>
      <c r="H595" s="513">
        <v>500</v>
      </c>
      <c r="I595" s="498">
        <v>13.59</v>
      </c>
      <c r="J595" s="499">
        <v>0.15</v>
      </c>
      <c r="K595" s="499">
        <f t="shared" si="202"/>
        <v>6794.85</v>
      </c>
      <c r="L595" s="497"/>
      <c r="M595" s="499"/>
    </row>
    <row r="596" spans="1:13" x14ac:dyDescent="0.25">
      <c r="A596" s="497"/>
      <c r="B596" s="608">
        <v>42451</v>
      </c>
      <c r="C596" s="497">
        <v>50</v>
      </c>
      <c r="D596" s="498">
        <v>11.22</v>
      </c>
      <c r="E596" s="499">
        <v>0</v>
      </c>
      <c r="F596" s="499">
        <f t="shared" si="203"/>
        <v>561</v>
      </c>
      <c r="G596" s="496">
        <v>42515</v>
      </c>
      <c r="H596" s="513">
        <v>500</v>
      </c>
      <c r="I596" s="498">
        <v>13.57</v>
      </c>
      <c r="J596" s="499">
        <v>0.15</v>
      </c>
      <c r="K596" s="499">
        <f t="shared" si="202"/>
        <v>6784.85</v>
      </c>
      <c r="L596" s="497"/>
      <c r="M596" s="499"/>
    </row>
    <row r="597" spans="1:13" x14ac:dyDescent="0.25">
      <c r="A597" s="497"/>
      <c r="B597" s="608"/>
      <c r="C597" s="497">
        <v>350</v>
      </c>
      <c r="D597" s="498">
        <v>11.22</v>
      </c>
      <c r="E597" s="499">
        <v>0</v>
      </c>
      <c r="F597" s="499">
        <f t="shared" si="203"/>
        <v>3927</v>
      </c>
      <c r="G597" s="496">
        <v>42517</v>
      </c>
      <c r="H597" s="513">
        <v>500</v>
      </c>
      <c r="I597" s="498">
        <v>12.87</v>
      </c>
      <c r="J597" s="499">
        <v>0.14000000000000001</v>
      </c>
      <c r="K597" s="499">
        <f t="shared" si="202"/>
        <v>6434.86</v>
      </c>
      <c r="L597" s="497"/>
      <c r="M597" s="499"/>
    </row>
    <row r="598" spans="1:13" ht="45" x14ac:dyDescent="0.25">
      <c r="A598" s="497"/>
      <c r="B598" s="612" t="s">
        <v>192</v>
      </c>
      <c r="C598" s="497">
        <v>650</v>
      </c>
      <c r="D598" s="498">
        <v>11.22</v>
      </c>
      <c r="E598" s="499">
        <v>0</v>
      </c>
      <c r="F598" s="499">
        <f t="shared" si="203"/>
        <v>7293</v>
      </c>
      <c r="G598" s="496">
        <v>42524</v>
      </c>
      <c r="H598" s="513">
        <v>400</v>
      </c>
      <c r="I598" s="498">
        <v>13.38</v>
      </c>
      <c r="J598" s="499">
        <v>0.12</v>
      </c>
      <c r="K598" s="499">
        <f t="shared" si="202"/>
        <v>5351.88</v>
      </c>
      <c r="L598" s="497"/>
      <c r="M598" s="499"/>
    </row>
    <row r="599" spans="1:13" x14ac:dyDescent="0.25">
      <c r="A599" s="497"/>
      <c r="B599" s="612"/>
      <c r="C599" s="497">
        <v>500</v>
      </c>
      <c r="D599" s="498">
        <v>11.01</v>
      </c>
      <c r="E599" s="499">
        <v>0</v>
      </c>
      <c r="F599" s="499">
        <f t="shared" si="203"/>
        <v>5505</v>
      </c>
      <c r="G599" s="496">
        <v>42527</v>
      </c>
      <c r="H599" s="513">
        <v>1000</v>
      </c>
      <c r="I599" s="498">
        <v>13.82</v>
      </c>
      <c r="J599" s="499">
        <v>0.3</v>
      </c>
      <c r="K599" s="499">
        <f t="shared" si="202"/>
        <v>13819.7</v>
      </c>
      <c r="L599" s="497"/>
      <c r="M599" s="499"/>
    </row>
    <row r="600" spans="1:13" x14ac:dyDescent="0.25">
      <c r="A600" s="497"/>
      <c r="B600" s="612"/>
      <c r="C600" s="497">
        <v>500</v>
      </c>
      <c r="D600" s="498">
        <v>10.75</v>
      </c>
      <c r="E600" s="499">
        <v>0</v>
      </c>
      <c r="F600" s="499">
        <f t="shared" si="203"/>
        <v>5375</v>
      </c>
      <c r="G600" s="496">
        <v>42527</v>
      </c>
      <c r="H600" s="513">
        <v>500</v>
      </c>
      <c r="I600" s="498">
        <v>13.97</v>
      </c>
      <c r="J600" s="499">
        <v>1.1499999999999999</v>
      </c>
      <c r="K600" s="499">
        <f t="shared" si="202"/>
        <v>6983.85</v>
      </c>
      <c r="L600" s="497"/>
      <c r="M600" s="499"/>
    </row>
    <row r="601" spans="1:13" x14ac:dyDescent="0.25">
      <c r="A601" s="497"/>
      <c r="B601" s="612"/>
      <c r="C601" s="497">
        <v>1000</v>
      </c>
      <c r="D601" s="498">
        <v>10.4</v>
      </c>
      <c r="E601" s="499">
        <v>0</v>
      </c>
      <c r="F601" s="499">
        <f t="shared" si="203"/>
        <v>10400</v>
      </c>
      <c r="G601" s="496">
        <v>42528</v>
      </c>
      <c r="H601" s="513">
        <v>500</v>
      </c>
      <c r="I601" s="498">
        <v>14.65</v>
      </c>
      <c r="J601" s="499">
        <v>0.16</v>
      </c>
      <c r="K601" s="499">
        <f t="shared" si="202"/>
        <v>7324.84</v>
      </c>
      <c r="L601" s="497"/>
      <c r="M601" s="499"/>
    </row>
    <row r="602" spans="1:13" x14ac:dyDescent="0.25">
      <c r="A602" s="497"/>
      <c r="B602" s="612"/>
      <c r="C602" s="497">
        <v>1000</v>
      </c>
      <c r="D602" s="498">
        <v>10.185</v>
      </c>
      <c r="E602" s="499">
        <v>0</v>
      </c>
      <c r="F602" s="499">
        <f t="shared" si="203"/>
        <v>10185</v>
      </c>
      <c r="G602" s="496">
        <v>42536</v>
      </c>
      <c r="H602" s="513">
        <v>400</v>
      </c>
      <c r="I602" s="498">
        <v>13.43</v>
      </c>
      <c r="J602" s="499">
        <v>0.12</v>
      </c>
      <c r="K602" s="499">
        <f t="shared" si="202"/>
        <v>5371.88</v>
      </c>
      <c r="L602" s="497"/>
      <c r="M602" s="499"/>
    </row>
    <row r="603" spans="1:13" x14ac:dyDescent="0.25">
      <c r="A603" s="497"/>
      <c r="B603" s="545">
        <v>42461</v>
      </c>
      <c r="C603" s="497">
        <v>2000</v>
      </c>
      <c r="D603" s="498">
        <v>10.43</v>
      </c>
      <c r="E603" s="499">
        <v>0</v>
      </c>
      <c r="F603" s="499">
        <f t="shared" si="203"/>
        <v>20860</v>
      </c>
      <c r="G603" s="496">
        <v>42537</v>
      </c>
      <c r="H603" s="513">
        <v>400</v>
      </c>
      <c r="I603" s="498">
        <v>12.69</v>
      </c>
      <c r="J603" s="499">
        <v>0.11</v>
      </c>
      <c r="K603" s="499">
        <f t="shared" si="202"/>
        <v>5075.8900000000003</v>
      </c>
      <c r="L603" s="497"/>
      <c r="M603" s="499"/>
    </row>
    <row r="604" spans="1:13" x14ac:dyDescent="0.25">
      <c r="A604" s="497"/>
      <c r="B604" s="545">
        <v>42461</v>
      </c>
      <c r="C604" s="497">
        <v>2000</v>
      </c>
      <c r="D604" s="498">
        <v>10.42</v>
      </c>
      <c r="E604" s="499">
        <v>0</v>
      </c>
      <c r="F604" s="499">
        <f t="shared" si="203"/>
        <v>20840</v>
      </c>
      <c r="G604" s="496">
        <v>42538</v>
      </c>
      <c r="H604" s="513">
        <v>500</v>
      </c>
      <c r="I604" s="498">
        <v>13.34</v>
      </c>
      <c r="J604" s="499">
        <v>0.15</v>
      </c>
      <c r="K604" s="499">
        <f t="shared" si="202"/>
        <v>6669.85</v>
      </c>
      <c r="L604" s="497"/>
      <c r="M604" s="499"/>
    </row>
    <row r="605" spans="1:13" ht="45" x14ac:dyDescent="0.25">
      <c r="A605" s="497"/>
      <c r="B605" s="545">
        <v>42465</v>
      </c>
      <c r="C605" s="497">
        <v>100</v>
      </c>
      <c r="D605" s="498">
        <v>10.4</v>
      </c>
      <c r="E605" s="499">
        <v>0</v>
      </c>
      <c r="F605" s="499">
        <f t="shared" si="203"/>
        <v>1040</v>
      </c>
      <c r="G605" s="614" t="s">
        <v>218</v>
      </c>
      <c r="H605" s="513">
        <v>500</v>
      </c>
      <c r="I605" s="498">
        <v>13.91</v>
      </c>
      <c r="J605" s="499">
        <v>0.15</v>
      </c>
      <c r="K605" s="499">
        <f t="shared" si="202"/>
        <v>6954.85</v>
      </c>
      <c r="L605" s="497"/>
      <c r="M605" s="499"/>
    </row>
    <row r="606" spans="1:13" x14ac:dyDescent="0.25">
      <c r="A606" s="497"/>
      <c r="B606" s="545">
        <v>42471</v>
      </c>
      <c r="C606" s="497">
        <v>500</v>
      </c>
      <c r="D606" s="498">
        <v>11.77</v>
      </c>
      <c r="E606" s="499">
        <v>0</v>
      </c>
      <c r="F606" s="499">
        <f t="shared" si="203"/>
        <v>5885</v>
      </c>
      <c r="G606" s="614"/>
      <c r="H606" s="513">
        <v>600</v>
      </c>
      <c r="I606" s="498">
        <v>14.36</v>
      </c>
      <c r="J606" s="499">
        <v>0.19</v>
      </c>
      <c r="K606" s="499">
        <f t="shared" si="202"/>
        <v>8615.81</v>
      </c>
      <c r="L606" s="497"/>
      <c r="M606" s="499"/>
    </row>
    <row r="607" spans="1:13" x14ac:dyDescent="0.25">
      <c r="A607" s="497"/>
      <c r="B607" s="545">
        <v>42471</v>
      </c>
      <c r="C607" s="497">
        <v>500</v>
      </c>
      <c r="D607" s="498">
        <v>11.55</v>
      </c>
      <c r="E607" s="499">
        <v>0</v>
      </c>
      <c r="F607" s="499">
        <f t="shared" si="203"/>
        <v>5775</v>
      </c>
      <c r="G607" s="614"/>
      <c r="H607" s="513">
        <v>500</v>
      </c>
      <c r="I607" s="498">
        <v>14.65</v>
      </c>
      <c r="J607" s="499">
        <v>0.16</v>
      </c>
      <c r="K607" s="499">
        <f t="shared" si="202"/>
        <v>7324.84</v>
      </c>
      <c r="L607" s="497"/>
      <c r="M607" s="499"/>
    </row>
    <row r="608" spans="1:13" x14ac:dyDescent="0.25">
      <c r="A608" s="497"/>
      <c r="B608" s="545">
        <v>42472</v>
      </c>
      <c r="C608" s="497">
        <v>610</v>
      </c>
      <c r="D608" s="498">
        <v>12.95</v>
      </c>
      <c r="E608" s="499">
        <v>0</v>
      </c>
      <c r="F608" s="499">
        <f t="shared" si="203"/>
        <v>7899.5</v>
      </c>
      <c r="G608" s="496">
        <v>42542</v>
      </c>
      <c r="H608" s="513">
        <v>500</v>
      </c>
      <c r="I608" s="498">
        <v>14.95</v>
      </c>
      <c r="J608" s="499">
        <v>0.16</v>
      </c>
      <c r="K608" s="499">
        <f t="shared" si="202"/>
        <v>7474.84</v>
      </c>
      <c r="L608" s="497"/>
      <c r="M608" s="499"/>
    </row>
    <row r="609" spans="1:13" x14ac:dyDescent="0.25">
      <c r="A609" s="497"/>
      <c r="B609" s="545">
        <v>42473</v>
      </c>
      <c r="C609" s="497">
        <v>970</v>
      </c>
      <c r="D609" s="498">
        <v>12.76</v>
      </c>
      <c r="E609" s="499">
        <v>4.0999999999999996</v>
      </c>
      <c r="F609" s="499">
        <f t="shared" si="203"/>
        <v>12381.3</v>
      </c>
      <c r="G609" s="496">
        <v>42542</v>
      </c>
      <c r="H609" s="513">
        <v>378</v>
      </c>
      <c r="I609" s="498">
        <v>15.2</v>
      </c>
      <c r="J609" s="499">
        <v>0.13</v>
      </c>
      <c r="K609" s="499">
        <f t="shared" si="202"/>
        <v>5745.4699999999993</v>
      </c>
      <c r="L609" s="497"/>
      <c r="M609" s="499"/>
    </row>
    <row r="610" spans="1:13" x14ac:dyDescent="0.25">
      <c r="A610" s="497"/>
      <c r="B610" s="545">
        <v>42474</v>
      </c>
      <c r="C610" s="497">
        <v>420</v>
      </c>
      <c r="D610" s="498">
        <v>12.755000000000001</v>
      </c>
      <c r="E610" s="499">
        <v>0.34</v>
      </c>
      <c r="F610" s="499">
        <f t="shared" si="203"/>
        <v>5357.4400000000005</v>
      </c>
      <c r="G610" s="497"/>
      <c r="H610" s="513"/>
      <c r="I610" s="498"/>
      <c r="J610" s="499"/>
      <c r="K610" s="499"/>
      <c r="L610" s="497"/>
      <c r="M610" s="499"/>
    </row>
    <row r="611" spans="1:13" x14ac:dyDescent="0.25">
      <c r="A611" s="497"/>
      <c r="B611" s="545">
        <v>42475</v>
      </c>
      <c r="C611" s="497">
        <v>500</v>
      </c>
      <c r="D611" s="498">
        <v>13.02</v>
      </c>
      <c r="E611" s="499">
        <v>-1.75</v>
      </c>
      <c r="F611" s="499">
        <f t="shared" si="203"/>
        <v>6508.25</v>
      </c>
      <c r="G611" s="497"/>
      <c r="H611" s="513"/>
      <c r="I611" s="498"/>
      <c r="J611" s="499"/>
      <c r="K611" s="499"/>
      <c r="L611" s="497"/>
      <c r="M611" s="499"/>
    </row>
    <row r="612" spans="1:13" x14ac:dyDescent="0.25">
      <c r="A612" s="497"/>
      <c r="B612" s="545">
        <v>42485</v>
      </c>
      <c r="C612" s="497">
        <v>500</v>
      </c>
      <c r="D612" s="498">
        <v>13.95</v>
      </c>
      <c r="E612" s="499">
        <v>0</v>
      </c>
      <c r="F612" s="499">
        <f t="shared" si="203"/>
        <v>6975</v>
      </c>
      <c r="G612" s="497"/>
      <c r="H612" s="513"/>
      <c r="I612" s="498"/>
      <c r="J612" s="499"/>
      <c r="K612" s="499"/>
      <c r="L612" s="497"/>
      <c r="M612" s="499"/>
    </row>
    <row r="613" spans="1:13" x14ac:dyDescent="0.25">
      <c r="A613" s="497"/>
      <c r="B613" s="545">
        <v>42487</v>
      </c>
      <c r="C613" s="497">
        <v>600</v>
      </c>
      <c r="D613" s="498">
        <v>14.63</v>
      </c>
      <c r="E613" s="499">
        <v>0</v>
      </c>
      <c r="F613" s="499">
        <f t="shared" si="203"/>
        <v>8778</v>
      </c>
      <c r="G613" s="497"/>
      <c r="H613" s="513"/>
      <c r="I613" s="498"/>
      <c r="J613" s="499"/>
      <c r="K613" s="499"/>
      <c r="L613" s="497"/>
      <c r="M613" s="499"/>
    </row>
    <row r="614" spans="1:13" x14ac:dyDescent="0.25">
      <c r="A614" s="497"/>
      <c r="B614" s="545">
        <v>42488</v>
      </c>
      <c r="C614" s="497">
        <v>500</v>
      </c>
      <c r="D614" s="498">
        <v>14.52</v>
      </c>
      <c r="E614" s="499">
        <v>0</v>
      </c>
      <c r="F614" s="499">
        <f t="shared" si="203"/>
        <v>7260</v>
      </c>
      <c r="G614" s="497"/>
      <c r="H614" s="513"/>
      <c r="I614" s="498"/>
      <c r="J614" s="499"/>
      <c r="K614" s="499"/>
      <c r="L614" s="497"/>
      <c r="M614" s="499"/>
    </row>
    <row r="615" spans="1:13" ht="30" x14ac:dyDescent="0.25">
      <c r="A615" s="615" t="s">
        <v>197</v>
      </c>
      <c r="B615" s="545">
        <v>42489</v>
      </c>
      <c r="C615" s="497">
        <v>500</v>
      </c>
      <c r="D615" s="498">
        <v>14.35</v>
      </c>
      <c r="E615" s="499">
        <v>0</v>
      </c>
      <c r="F615" s="499">
        <f t="shared" si="203"/>
        <v>7175</v>
      </c>
      <c r="G615" s="497"/>
      <c r="H615" s="513"/>
      <c r="I615" s="498"/>
      <c r="J615" s="499"/>
      <c r="K615" s="499"/>
      <c r="L615" s="497"/>
      <c r="M615" s="499"/>
    </row>
    <row r="616" spans="1:13" x14ac:dyDescent="0.25">
      <c r="A616" s="615"/>
      <c r="B616" s="545">
        <v>42489</v>
      </c>
      <c r="C616" s="497">
        <v>500</v>
      </c>
      <c r="D616" s="498">
        <v>14.15</v>
      </c>
      <c r="E616" s="499">
        <v>0</v>
      </c>
      <c r="F616" s="499">
        <f t="shared" si="203"/>
        <v>7075</v>
      </c>
      <c r="G616" s="497"/>
      <c r="H616" s="513"/>
      <c r="I616" s="498"/>
      <c r="J616" s="499"/>
      <c r="K616" s="499"/>
      <c r="L616" s="497"/>
      <c r="M616" s="499"/>
    </row>
    <row r="617" spans="1:13" x14ac:dyDescent="0.25">
      <c r="A617" s="615"/>
      <c r="B617" s="545">
        <v>42489</v>
      </c>
      <c r="C617" s="497">
        <v>1000</v>
      </c>
      <c r="D617" s="498">
        <v>13.92</v>
      </c>
      <c r="E617" s="499">
        <v>0</v>
      </c>
      <c r="F617" s="499">
        <f t="shared" si="203"/>
        <v>13920</v>
      </c>
      <c r="G617" s="497"/>
      <c r="H617" s="513"/>
      <c r="I617" s="498"/>
      <c r="J617" s="499"/>
      <c r="K617" s="499"/>
      <c r="L617" s="497"/>
      <c r="M617" s="499"/>
    </row>
    <row r="618" spans="1:13" x14ac:dyDescent="0.25">
      <c r="A618" s="615"/>
      <c r="B618" s="545">
        <v>42489</v>
      </c>
      <c r="C618" s="497">
        <v>1000</v>
      </c>
      <c r="D618" s="498">
        <v>13.8</v>
      </c>
      <c r="E618" s="499">
        <v>0</v>
      </c>
      <c r="F618" s="499">
        <f t="shared" si="203"/>
        <v>13800</v>
      </c>
      <c r="G618" s="497"/>
      <c r="H618" s="513"/>
      <c r="I618" s="498"/>
      <c r="J618" s="499"/>
      <c r="K618" s="499"/>
      <c r="L618" s="497"/>
      <c r="M618" s="499"/>
    </row>
    <row r="619" spans="1:13" x14ac:dyDescent="0.25">
      <c r="A619" s="497"/>
      <c r="B619" s="545">
        <v>42492</v>
      </c>
      <c r="C619" s="497">
        <v>1500</v>
      </c>
      <c r="D619" s="498">
        <v>13.25</v>
      </c>
      <c r="E619" s="499">
        <v>0</v>
      </c>
      <c r="F619" s="499">
        <f t="shared" si="203"/>
        <v>19875</v>
      </c>
      <c r="G619" s="497"/>
      <c r="H619" s="513"/>
      <c r="I619" s="498"/>
      <c r="J619" s="499"/>
      <c r="K619" s="499"/>
      <c r="L619" s="497"/>
      <c r="M619" s="499"/>
    </row>
    <row r="620" spans="1:13" x14ac:dyDescent="0.25">
      <c r="A620" s="497"/>
      <c r="B620" s="545">
        <v>42492</v>
      </c>
      <c r="C620" s="497">
        <v>500</v>
      </c>
      <c r="D620" s="498">
        <v>13.6</v>
      </c>
      <c r="E620" s="499">
        <v>0</v>
      </c>
      <c r="F620" s="499">
        <f t="shared" si="203"/>
        <v>6800</v>
      </c>
      <c r="G620" s="497"/>
      <c r="H620" s="513"/>
      <c r="I620" s="498"/>
      <c r="J620" s="499"/>
      <c r="K620" s="499"/>
      <c r="L620" s="497"/>
      <c r="M620" s="499"/>
    </row>
    <row r="621" spans="1:13" x14ac:dyDescent="0.25">
      <c r="A621" s="497"/>
      <c r="B621" s="545">
        <v>42493</v>
      </c>
      <c r="C621" s="497">
        <v>322</v>
      </c>
      <c r="D621" s="498">
        <v>12.85</v>
      </c>
      <c r="E621" s="499">
        <v>0</v>
      </c>
      <c r="F621" s="499">
        <f t="shared" si="203"/>
        <v>4137.7</v>
      </c>
      <c r="G621" s="497"/>
      <c r="H621" s="513"/>
      <c r="I621" s="498"/>
      <c r="J621" s="499"/>
      <c r="K621" s="499"/>
      <c r="L621" s="497"/>
      <c r="M621" s="499"/>
    </row>
    <row r="622" spans="1:13" ht="30" x14ac:dyDescent="0.25">
      <c r="A622" s="599" t="s">
        <v>201</v>
      </c>
      <c r="B622" s="545">
        <v>42494</v>
      </c>
      <c r="C622" s="497">
        <v>1000</v>
      </c>
      <c r="D622" s="498">
        <v>12.25</v>
      </c>
      <c r="E622" s="499">
        <v>0</v>
      </c>
      <c r="F622" s="499">
        <f t="shared" si="203"/>
        <v>12250</v>
      </c>
      <c r="G622" s="497"/>
      <c r="H622" s="513"/>
      <c r="I622" s="498"/>
      <c r="J622" s="499"/>
      <c r="K622" s="499"/>
      <c r="L622" s="497"/>
      <c r="M622" s="499"/>
    </row>
    <row r="623" spans="1:13" x14ac:dyDescent="0.25">
      <c r="A623" s="599"/>
      <c r="B623" s="545">
        <v>42494</v>
      </c>
      <c r="C623" s="497">
        <v>500</v>
      </c>
      <c r="D623" s="498">
        <v>12.53</v>
      </c>
      <c r="E623" s="499">
        <v>0</v>
      </c>
      <c r="F623" s="499">
        <f t="shared" si="203"/>
        <v>6265</v>
      </c>
      <c r="G623" s="497"/>
      <c r="H623" s="513"/>
      <c r="I623" s="498"/>
      <c r="J623" s="499"/>
      <c r="K623" s="499"/>
      <c r="L623" s="497"/>
      <c r="M623" s="499"/>
    </row>
    <row r="624" spans="1:13" x14ac:dyDescent="0.25">
      <c r="A624" s="599"/>
      <c r="B624" s="545">
        <v>42494</v>
      </c>
      <c r="C624" s="497">
        <v>500</v>
      </c>
      <c r="D624" s="498">
        <v>12.65</v>
      </c>
      <c r="E624" s="499">
        <v>0</v>
      </c>
      <c r="F624" s="499">
        <f t="shared" si="203"/>
        <v>6325</v>
      </c>
      <c r="G624" s="497"/>
      <c r="H624" s="513"/>
      <c r="I624" s="498"/>
      <c r="J624" s="499"/>
      <c r="K624" s="499"/>
      <c r="L624" s="497"/>
      <c r="M624" s="499"/>
    </row>
    <row r="625" spans="1:13" x14ac:dyDescent="0.25">
      <c r="A625" s="497"/>
      <c r="B625" s="545">
        <v>42495</v>
      </c>
      <c r="C625" s="497">
        <v>1000</v>
      </c>
      <c r="D625" s="498">
        <v>11.95</v>
      </c>
      <c r="E625" s="499">
        <v>0</v>
      </c>
      <c r="F625" s="499">
        <f t="shared" si="203"/>
        <v>11950</v>
      </c>
      <c r="G625" s="497"/>
      <c r="H625" s="513"/>
      <c r="I625" s="498"/>
      <c r="J625" s="499"/>
      <c r="K625" s="499"/>
      <c r="L625" s="497"/>
      <c r="M625" s="499"/>
    </row>
    <row r="626" spans="1:13" x14ac:dyDescent="0.25">
      <c r="A626" s="497"/>
      <c r="B626" s="545">
        <v>42499</v>
      </c>
      <c r="C626" s="497">
        <v>500</v>
      </c>
      <c r="D626" s="498">
        <v>11.48</v>
      </c>
      <c r="E626" s="499">
        <v>0</v>
      </c>
      <c r="F626" s="499">
        <f t="shared" si="203"/>
        <v>5740</v>
      </c>
      <c r="G626" s="497"/>
      <c r="H626" s="513"/>
      <c r="I626" s="498"/>
      <c r="J626" s="499"/>
      <c r="K626" s="499"/>
      <c r="L626" s="497"/>
      <c r="M626" s="499"/>
    </row>
    <row r="627" spans="1:13" x14ac:dyDescent="0.25">
      <c r="A627" s="497"/>
      <c r="B627" s="545">
        <v>42499</v>
      </c>
      <c r="C627" s="497">
        <v>500</v>
      </c>
      <c r="D627" s="498">
        <v>11.32</v>
      </c>
      <c r="E627" s="499">
        <v>0</v>
      </c>
      <c r="F627" s="499">
        <f t="shared" si="203"/>
        <v>5660</v>
      </c>
      <c r="G627" s="497"/>
      <c r="H627" s="513"/>
      <c r="I627" s="498"/>
      <c r="J627" s="499"/>
      <c r="K627" s="499"/>
      <c r="L627" s="497"/>
      <c r="M627" s="499"/>
    </row>
    <row r="628" spans="1:13" ht="30" x14ac:dyDescent="0.25">
      <c r="A628" s="615" t="s">
        <v>204</v>
      </c>
      <c r="B628" s="545">
        <v>42502</v>
      </c>
      <c r="C628" s="497">
        <v>500</v>
      </c>
      <c r="D628" s="498">
        <v>12.38</v>
      </c>
      <c r="E628" s="499">
        <v>0</v>
      </c>
      <c r="F628" s="499">
        <f t="shared" si="203"/>
        <v>6190</v>
      </c>
      <c r="G628" s="497"/>
      <c r="H628" s="513"/>
      <c r="I628" s="498"/>
      <c r="J628" s="499"/>
      <c r="K628" s="499"/>
      <c r="L628" s="497"/>
      <c r="M628" s="499"/>
    </row>
    <row r="629" spans="1:13" x14ac:dyDescent="0.25">
      <c r="A629" s="615"/>
      <c r="B629" s="545">
        <v>42502</v>
      </c>
      <c r="C629" s="497">
        <v>500</v>
      </c>
      <c r="D629" s="498">
        <v>12.3</v>
      </c>
      <c r="E629" s="499">
        <v>0</v>
      </c>
      <c r="F629" s="499">
        <f t="shared" si="203"/>
        <v>6150</v>
      </c>
      <c r="G629" s="497"/>
      <c r="H629" s="513"/>
      <c r="I629" s="498"/>
      <c r="J629" s="499"/>
      <c r="K629" s="499"/>
      <c r="L629" s="497"/>
      <c r="M629" s="499"/>
    </row>
    <row r="630" spans="1:13" x14ac:dyDescent="0.25">
      <c r="A630" s="615"/>
      <c r="B630" s="545">
        <v>42502</v>
      </c>
      <c r="C630" s="497">
        <v>500</v>
      </c>
      <c r="D630" s="498">
        <v>12.23</v>
      </c>
      <c r="E630" s="499">
        <v>0</v>
      </c>
      <c r="F630" s="499">
        <f t="shared" si="203"/>
        <v>6115</v>
      </c>
      <c r="G630" s="497"/>
      <c r="H630" s="513"/>
      <c r="I630" s="498"/>
      <c r="J630" s="499"/>
      <c r="K630" s="499"/>
      <c r="L630" s="497"/>
      <c r="M630" s="499"/>
    </row>
    <row r="631" spans="1:13" x14ac:dyDescent="0.25">
      <c r="A631" s="497"/>
      <c r="B631" s="545">
        <v>42503</v>
      </c>
      <c r="C631" s="497">
        <v>500</v>
      </c>
      <c r="D631" s="498">
        <v>12.41</v>
      </c>
      <c r="E631" s="499">
        <v>0</v>
      </c>
      <c r="F631" s="499">
        <f t="shared" si="203"/>
        <v>6205</v>
      </c>
      <c r="G631" s="497"/>
      <c r="H631" s="513"/>
      <c r="I631" s="498"/>
      <c r="J631" s="499"/>
      <c r="K631" s="499"/>
      <c r="L631" s="497"/>
      <c r="M631" s="499"/>
    </row>
    <row r="632" spans="1:13" x14ac:dyDescent="0.25">
      <c r="A632" s="497"/>
      <c r="B632" s="545">
        <v>42506</v>
      </c>
      <c r="C632" s="497">
        <v>300</v>
      </c>
      <c r="D632" s="498">
        <v>12.8</v>
      </c>
      <c r="E632" s="499">
        <v>0</v>
      </c>
      <c r="F632" s="499">
        <f t="shared" si="203"/>
        <v>3840</v>
      </c>
      <c r="G632" s="497"/>
      <c r="H632" s="513"/>
      <c r="I632" s="498"/>
      <c r="J632" s="499"/>
      <c r="K632" s="499"/>
      <c r="L632" s="497"/>
      <c r="M632" s="499"/>
    </row>
    <row r="633" spans="1:13" x14ac:dyDescent="0.25">
      <c r="A633" s="497"/>
      <c r="B633" s="545">
        <v>42514</v>
      </c>
      <c r="C633" s="497">
        <v>500</v>
      </c>
      <c r="D633" s="498">
        <v>13.02</v>
      </c>
      <c r="E633" s="499">
        <v>-1.65</v>
      </c>
      <c r="F633" s="499">
        <f t="shared" ref="F633:F696" si="204">C633*D633+E633</f>
        <v>6508.35</v>
      </c>
      <c r="G633" s="497"/>
      <c r="H633" s="513"/>
      <c r="I633" s="498"/>
      <c r="J633" s="499"/>
      <c r="K633" s="499"/>
      <c r="L633" s="497"/>
      <c r="M633" s="499"/>
    </row>
    <row r="634" spans="1:13" x14ac:dyDescent="0.25">
      <c r="A634" s="497"/>
      <c r="B634" s="545">
        <v>42515</v>
      </c>
      <c r="C634" s="497">
        <v>500</v>
      </c>
      <c r="D634" s="498">
        <v>13.45</v>
      </c>
      <c r="E634" s="499">
        <v>1</v>
      </c>
      <c r="F634" s="499">
        <f t="shared" si="204"/>
        <v>6726</v>
      </c>
      <c r="G634" s="497"/>
      <c r="H634" s="513"/>
      <c r="I634" s="498"/>
      <c r="J634" s="499"/>
      <c r="K634" s="499"/>
      <c r="L634" s="497"/>
      <c r="M634" s="499"/>
    </row>
    <row r="635" spans="1:13" x14ac:dyDescent="0.25">
      <c r="A635" s="497"/>
      <c r="B635" s="545">
        <v>42516</v>
      </c>
      <c r="C635" s="497">
        <v>500</v>
      </c>
      <c r="D635" s="498">
        <v>13.28</v>
      </c>
      <c r="E635" s="499">
        <v>-1.04</v>
      </c>
      <c r="F635" s="499">
        <f t="shared" si="204"/>
        <v>6638.96</v>
      </c>
      <c r="G635" s="497"/>
      <c r="H635" s="513"/>
      <c r="I635" s="498"/>
      <c r="J635" s="499"/>
      <c r="K635" s="499"/>
      <c r="L635" s="497"/>
      <c r="M635" s="499"/>
    </row>
    <row r="636" spans="1:13" x14ac:dyDescent="0.25">
      <c r="A636" s="497"/>
      <c r="B636" s="545">
        <v>42517</v>
      </c>
      <c r="C636" s="497">
        <v>500</v>
      </c>
      <c r="D636" s="498">
        <v>12.79</v>
      </c>
      <c r="E636" s="499">
        <v>0</v>
      </c>
      <c r="F636" s="499">
        <f t="shared" si="204"/>
        <v>6395</v>
      </c>
      <c r="G636" s="497"/>
      <c r="H636" s="513"/>
      <c r="I636" s="498"/>
      <c r="J636" s="499"/>
      <c r="K636" s="499"/>
      <c r="L636" s="497"/>
      <c r="M636" s="499"/>
    </row>
    <row r="637" spans="1:13" x14ac:dyDescent="0.25">
      <c r="A637" s="497"/>
      <c r="B637" s="545">
        <v>42524</v>
      </c>
      <c r="C637" s="497">
        <v>400</v>
      </c>
      <c r="D637" s="498">
        <v>13.28</v>
      </c>
      <c r="E637" s="499">
        <v>0</v>
      </c>
      <c r="F637" s="499">
        <f t="shared" si="204"/>
        <v>5312</v>
      </c>
      <c r="G637" s="497"/>
      <c r="H637" s="513"/>
      <c r="I637" s="498"/>
      <c r="J637" s="499"/>
      <c r="K637" s="499"/>
      <c r="L637" s="497"/>
      <c r="M637" s="499"/>
    </row>
    <row r="638" spans="1:13" x14ac:dyDescent="0.25">
      <c r="A638" s="497"/>
      <c r="B638" s="545">
        <v>42529</v>
      </c>
      <c r="C638" s="497">
        <v>500</v>
      </c>
      <c r="D638" s="498">
        <v>14.59</v>
      </c>
      <c r="E638" s="499">
        <v>0</v>
      </c>
      <c r="F638" s="499">
        <f t="shared" si="204"/>
        <v>7295</v>
      </c>
      <c r="G638" s="497"/>
      <c r="H638" s="513"/>
      <c r="I638" s="498"/>
      <c r="J638" s="499"/>
      <c r="K638" s="499"/>
      <c r="L638" s="497"/>
      <c r="M638" s="499"/>
    </row>
    <row r="639" spans="1:13" x14ac:dyDescent="0.25">
      <c r="A639" s="497"/>
      <c r="B639" s="545">
        <v>42531</v>
      </c>
      <c r="C639" s="497">
        <v>800</v>
      </c>
      <c r="D639" s="498">
        <v>13.79</v>
      </c>
      <c r="E639" s="499">
        <v>0</v>
      </c>
      <c r="F639" s="499">
        <f t="shared" si="204"/>
        <v>11032</v>
      </c>
      <c r="G639" s="497"/>
      <c r="H639" s="513"/>
      <c r="I639" s="498"/>
      <c r="J639" s="499"/>
      <c r="K639" s="499"/>
      <c r="L639" s="497"/>
      <c r="M639" s="499"/>
    </row>
    <row r="640" spans="1:13" x14ac:dyDescent="0.25">
      <c r="A640" s="497"/>
      <c r="B640" s="545">
        <v>42531</v>
      </c>
      <c r="C640" s="497">
        <v>300</v>
      </c>
      <c r="D640" s="498">
        <v>13.4</v>
      </c>
      <c r="E640" s="499">
        <v>0</v>
      </c>
      <c r="F640" s="499">
        <f t="shared" si="204"/>
        <v>4020</v>
      </c>
      <c r="G640" s="497"/>
      <c r="H640" s="513"/>
      <c r="I640" s="498"/>
      <c r="J640" s="499"/>
      <c r="K640" s="499"/>
      <c r="L640" s="497"/>
      <c r="M640" s="499"/>
    </row>
    <row r="641" spans="1:13" x14ac:dyDescent="0.25">
      <c r="A641" s="497"/>
      <c r="B641" s="545">
        <v>42535</v>
      </c>
      <c r="C641" s="497">
        <v>400</v>
      </c>
      <c r="D641" s="498">
        <v>12.85</v>
      </c>
      <c r="E641" s="499">
        <v>0</v>
      </c>
      <c r="F641" s="499">
        <f t="shared" si="204"/>
        <v>5140</v>
      </c>
      <c r="G641" s="497"/>
      <c r="H641" s="513"/>
      <c r="I641" s="498"/>
      <c r="J641" s="499"/>
      <c r="K641" s="499"/>
      <c r="L641" s="497"/>
      <c r="M641" s="499"/>
    </row>
    <row r="642" spans="1:13" x14ac:dyDescent="0.25">
      <c r="A642" s="497"/>
      <c r="B642" s="545">
        <v>42537</v>
      </c>
      <c r="C642" s="497">
        <v>400</v>
      </c>
      <c r="D642" s="498">
        <v>12.43</v>
      </c>
      <c r="E642" s="499">
        <v>-0.04</v>
      </c>
      <c r="F642" s="499">
        <f t="shared" si="204"/>
        <v>4971.96</v>
      </c>
      <c r="G642" s="497"/>
      <c r="H642" s="513"/>
      <c r="I642" s="498"/>
      <c r="J642" s="499"/>
      <c r="K642" s="499"/>
      <c r="L642" s="497"/>
      <c r="M642" s="499"/>
    </row>
    <row r="643" spans="1:13" x14ac:dyDescent="0.25">
      <c r="A643" s="497"/>
      <c r="B643" s="545">
        <v>42538</v>
      </c>
      <c r="C643" s="497">
        <v>500</v>
      </c>
      <c r="D643" s="498">
        <v>13.14</v>
      </c>
      <c r="E643" s="499">
        <v>0</v>
      </c>
      <c r="F643" s="499">
        <f t="shared" si="204"/>
        <v>6570</v>
      </c>
      <c r="G643" s="497"/>
      <c r="H643" s="513"/>
      <c r="I643" s="498"/>
      <c r="J643" s="499"/>
      <c r="K643" s="499"/>
      <c r="L643" s="497"/>
      <c r="M643" s="499"/>
    </row>
    <row r="644" spans="1:13" x14ac:dyDescent="0.25">
      <c r="A644" s="497"/>
      <c r="B644" s="545">
        <v>42543</v>
      </c>
      <c r="C644" s="497">
        <v>500</v>
      </c>
      <c r="D644" s="498">
        <v>14.75</v>
      </c>
      <c r="E644" s="499">
        <v>0</v>
      </c>
      <c r="F644" s="499">
        <f t="shared" si="204"/>
        <v>7375</v>
      </c>
      <c r="G644" s="496">
        <v>42544</v>
      </c>
      <c r="H644" s="513">
        <v>500</v>
      </c>
      <c r="I644" s="498">
        <v>15.24</v>
      </c>
      <c r="J644" s="499">
        <v>0.17</v>
      </c>
      <c r="K644" s="499">
        <f>H644*I644-J644</f>
        <v>7619.83</v>
      </c>
      <c r="L644" s="497"/>
      <c r="M644" s="499"/>
    </row>
    <row r="645" spans="1:13" x14ac:dyDescent="0.25">
      <c r="A645" s="497"/>
      <c r="B645" s="545">
        <v>42545</v>
      </c>
      <c r="C645" s="497">
        <v>878</v>
      </c>
      <c r="D645" s="498">
        <v>14.41</v>
      </c>
      <c r="E645" s="499">
        <v>0</v>
      </c>
      <c r="F645" s="499">
        <f t="shared" si="204"/>
        <v>12651.98</v>
      </c>
      <c r="G645" s="497"/>
      <c r="H645" s="513"/>
      <c r="I645" s="498"/>
      <c r="J645" s="499"/>
      <c r="K645" s="499"/>
      <c r="L645" s="497"/>
      <c r="M645" s="499"/>
    </row>
    <row r="646" spans="1:13" x14ac:dyDescent="0.25">
      <c r="A646" s="497"/>
      <c r="B646" s="545">
        <v>42545</v>
      </c>
      <c r="C646" s="497">
        <v>335</v>
      </c>
      <c r="D646" s="498">
        <v>14.08</v>
      </c>
      <c r="E646" s="499">
        <v>0</v>
      </c>
      <c r="F646" s="499">
        <f t="shared" si="204"/>
        <v>4716.8</v>
      </c>
      <c r="G646" s="497"/>
      <c r="H646" s="513"/>
      <c r="I646" s="498"/>
      <c r="J646" s="499"/>
      <c r="K646" s="499"/>
      <c r="L646" s="497"/>
      <c r="M646" s="499"/>
    </row>
    <row r="647" spans="1:13" x14ac:dyDescent="0.25">
      <c r="A647" s="497"/>
      <c r="B647" s="545">
        <v>42548</v>
      </c>
      <c r="C647" s="497">
        <v>965</v>
      </c>
      <c r="D647" s="498">
        <v>13.81</v>
      </c>
      <c r="E647" s="499">
        <v>0</v>
      </c>
      <c r="F647" s="499">
        <f t="shared" si="204"/>
        <v>13326.65</v>
      </c>
      <c r="G647" s="497"/>
      <c r="H647" s="513"/>
      <c r="I647" s="498"/>
      <c r="J647" s="499"/>
      <c r="K647" s="499"/>
      <c r="L647" s="497"/>
      <c r="M647" s="499"/>
    </row>
    <row r="648" spans="1:13" x14ac:dyDescent="0.25">
      <c r="A648" s="497"/>
      <c r="B648" s="545">
        <v>42548</v>
      </c>
      <c r="C648" s="497">
        <v>300</v>
      </c>
      <c r="D648" s="498">
        <v>13.58</v>
      </c>
      <c r="E648" s="499">
        <v>0</v>
      </c>
      <c r="F648" s="499">
        <f t="shared" si="204"/>
        <v>4074</v>
      </c>
      <c r="G648" s="496">
        <v>42549</v>
      </c>
      <c r="H648" s="513">
        <v>1100</v>
      </c>
      <c r="I648" s="498">
        <v>14.68</v>
      </c>
      <c r="J648" s="499">
        <v>0.35</v>
      </c>
      <c r="K648" s="499">
        <f t="shared" ref="K648:K733" si="205">H648*I648-J648</f>
        <v>16147.65</v>
      </c>
      <c r="L648" s="497"/>
      <c r="M648" s="499"/>
    </row>
    <row r="649" spans="1:13" ht="45" x14ac:dyDescent="0.25">
      <c r="A649" s="497"/>
      <c r="B649" s="545">
        <v>42556</v>
      </c>
      <c r="C649" s="497">
        <v>2178</v>
      </c>
      <c r="D649" s="498">
        <v>15.08</v>
      </c>
      <c r="E649" s="499">
        <v>0</v>
      </c>
      <c r="F649" s="499">
        <f t="shared" si="204"/>
        <v>32844.239999999998</v>
      </c>
      <c r="G649" s="611" t="s">
        <v>227</v>
      </c>
      <c r="H649" s="513">
        <v>500</v>
      </c>
      <c r="I649" s="498">
        <v>15.48</v>
      </c>
      <c r="J649" s="499">
        <v>0.17</v>
      </c>
      <c r="K649" s="499">
        <f t="shared" si="205"/>
        <v>7739.83</v>
      </c>
      <c r="L649" s="497"/>
      <c r="M649" s="499"/>
    </row>
    <row r="650" spans="1:13" x14ac:dyDescent="0.25">
      <c r="A650" s="497"/>
      <c r="B650" s="545">
        <v>42556</v>
      </c>
      <c r="C650" s="497">
        <v>500</v>
      </c>
      <c r="D650" s="498">
        <v>14.62</v>
      </c>
      <c r="E650" s="499">
        <v>0</v>
      </c>
      <c r="F650" s="499">
        <f t="shared" si="204"/>
        <v>7310</v>
      </c>
      <c r="G650" s="611"/>
      <c r="H650" s="513">
        <v>378</v>
      </c>
      <c r="I650" s="498">
        <v>15.65</v>
      </c>
      <c r="J650" s="499">
        <v>0.13</v>
      </c>
      <c r="K650" s="499">
        <f t="shared" si="205"/>
        <v>5915.57</v>
      </c>
      <c r="L650" s="497"/>
      <c r="M650" s="499"/>
    </row>
    <row r="651" spans="1:13" x14ac:dyDescent="0.25">
      <c r="A651" s="497"/>
      <c r="B651" s="545">
        <v>42557</v>
      </c>
      <c r="C651" s="497">
        <v>500</v>
      </c>
      <c r="D651" s="498">
        <v>14.78</v>
      </c>
      <c r="E651" s="499">
        <v>0</v>
      </c>
      <c r="F651" s="499">
        <f t="shared" si="204"/>
        <v>7390</v>
      </c>
      <c r="G651" s="611"/>
      <c r="H651" s="513">
        <v>500</v>
      </c>
      <c r="I651" s="498">
        <v>15.51</v>
      </c>
      <c r="J651" s="499">
        <v>0.17</v>
      </c>
      <c r="K651" s="499">
        <f t="shared" si="205"/>
        <v>7754.83</v>
      </c>
      <c r="L651" s="497"/>
      <c r="M651" s="499"/>
    </row>
    <row r="652" spans="1:13" x14ac:dyDescent="0.25">
      <c r="A652" s="497"/>
      <c r="B652" s="597">
        <v>42564</v>
      </c>
      <c r="C652" s="497">
        <v>320</v>
      </c>
      <c r="D652" s="498">
        <v>15.48</v>
      </c>
      <c r="E652" s="499">
        <v>0</v>
      </c>
      <c r="F652" s="499">
        <f t="shared" si="204"/>
        <v>4953.6000000000004</v>
      </c>
      <c r="G652" s="611"/>
      <c r="H652" s="513">
        <v>800</v>
      </c>
      <c r="I652" s="498">
        <v>15.78</v>
      </c>
      <c r="J652" s="499">
        <v>0.28000000000000003</v>
      </c>
      <c r="K652" s="499">
        <f t="shared" si="205"/>
        <v>12623.72</v>
      </c>
      <c r="L652" s="497"/>
      <c r="M652" s="499"/>
    </row>
    <row r="653" spans="1:13" x14ac:dyDescent="0.25">
      <c r="A653" s="598"/>
      <c r="B653" s="597">
        <v>42564</v>
      </c>
      <c r="C653" s="497">
        <v>160</v>
      </c>
      <c r="D653" s="498">
        <v>15.48</v>
      </c>
      <c r="E653" s="499">
        <v>0</v>
      </c>
      <c r="F653" s="499">
        <f t="shared" si="204"/>
        <v>2476.8000000000002</v>
      </c>
      <c r="G653" s="496">
        <v>42557</v>
      </c>
      <c r="H653" s="513">
        <v>500</v>
      </c>
      <c r="I653" s="498">
        <v>14.92</v>
      </c>
      <c r="J653" s="499">
        <v>0.16</v>
      </c>
      <c r="K653" s="499">
        <f t="shared" si="205"/>
        <v>7459.84</v>
      </c>
      <c r="L653" s="497"/>
      <c r="M653" s="499"/>
    </row>
    <row r="654" spans="1:13" x14ac:dyDescent="0.25">
      <c r="A654" s="598"/>
      <c r="B654" s="545">
        <v>42570</v>
      </c>
      <c r="C654" s="497">
        <v>200</v>
      </c>
      <c r="D654" s="498">
        <v>15.18</v>
      </c>
      <c r="E654" s="499">
        <v>0</v>
      </c>
      <c r="F654" s="499">
        <f t="shared" si="204"/>
        <v>3036</v>
      </c>
      <c r="G654" s="496">
        <v>42564</v>
      </c>
      <c r="H654" s="513">
        <v>420</v>
      </c>
      <c r="I654" s="498">
        <v>15.68</v>
      </c>
      <c r="J654" s="499">
        <v>0.14000000000000001</v>
      </c>
      <c r="K654" s="499">
        <f t="shared" si="205"/>
        <v>6585.4599999999991</v>
      </c>
      <c r="L654" s="497"/>
      <c r="M654" s="499"/>
    </row>
    <row r="655" spans="1:13" x14ac:dyDescent="0.25">
      <c r="A655" s="598"/>
      <c r="B655" s="545">
        <v>42570</v>
      </c>
      <c r="C655" s="497">
        <v>200</v>
      </c>
      <c r="D655" s="498">
        <v>14.68</v>
      </c>
      <c r="E655" s="499">
        <v>0</v>
      </c>
      <c r="F655" s="499">
        <f t="shared" si="204"/>
        <v>2936</v>
      </c>
      <c r="G655" s="496">
        <v>42571</v>
      </c>
      <c r="H655" s="513">
        <v>200</v>
      </c>
      <c r="I655" s="498">
        <v>14.82</v>
      </c>
      <c r="J655" s="499">
        <v>0.06</v>
      </c>
      <c r="K655" s="499">
        <f t="shared" si="205"/>
        <v>2963.94</v>
      </c>
      <c r="L655" s="497"/>
      <c r="M655" s="499"/>
    </row>
    <row r="656" spans="1:13" x14ac:dyDescent="0.25">
      <c r="A656" s="497"/>
      <c r="B656" s="545">
        <v>42571</v>
      </c>
      <c r="C656" s="497">
        <v>200</v>
      </c>
      <c r="D656" s="498">
        <v>14.33</v>
      </c>
      <c r="E656" s="499">
        <v>-1</v>
      </c>
      <c r="F656" s="499">
        <f t="shared" si="204"/>
        <v>2865</v>
      </c>
      <c r="G656" s="496">
        <v>42572</v>
      </c>
      <c r="H656" s="513">
        <v>200</v>
      </c>
      <c r="I656" s="498">
        <v>14.8</v>
      </c>
      <c r="J656" s="499">
        <v>0.06</v>
      </c>
      <c r="K656" s="499">
        <f t="shared" si="205"/>
        <v>2959.94</v>
      </c>
      <c r="L656" s="497"/>
      <c r="M656" s="499"/>
    </row>
    <row r="657" spans="1:13" x14ac:dyDescent="0.25">
      <c r="A657" s="497"/>
      <c r="B657" s="545">
        <v>42572</v>
      </c>
      <c r="C657" s="497">
        <v>60</v>
      </c>
      <c r="D657" s="498">
        <v>14.58</v>
      </c>
      <c r="E657" s="499">
        <v>0</v>
      </c>
      <c r="F657" s="499">
        <f t="shared" si="204"/>
        <v>874.8</v>
      </c>
      <c r="G657" s="496">
        <v>42577</v>
      </c>
      <c r="H657" s="513">
        <v>200</v>
      </c>
      <c r="I657" s="498">
        <v>13.78</v>
      </c>
      <c r="J657" s="499">
        <v>0.06</v>
      </c>
      <c r="K657" s="499">
        <f t="shared" si="205"/>
        <v>2755.94</v>
      </c>
      <c r="L657" s="497"/>
      <c r="M657" s="499"/>
    </row>
    <row r="658" spans="1:13" x14ac:dyDescent="0.25">
      <c r="A658" s="497"/>
      <c r="B658" s="545">
        <v>42572</v>
      </c>
      <c r="C658" s="497">
        <v>140</v>
      </c>
      <c r="D658" s="498">
        <v>14.65</v>
      </c>
      <c r="E658" s="499">
        <v>0</v>
      </c>
      <c r="F658" s="499">
        <f t="shared" si="204"/>
        <v>2051</v>
      </c>
      <c r="G658" s="496">
        <v>42580</v>
      </c>
      <c r="H658" s="513">
        <v>200</v>
      </c>
      <c r="I658" s="498">
        <v>13.224</v>
      </c>
      <c r="J658" s="499">
        <v>0.08</v>
      </c>
      <c r="K658" s="499">
        <f t="shared" si="205"/>
        <v>2644.7200000000003</v>
      </c>
      <c r="L658" s="497"/>
      <c r="M658" s="499"/>
    </row>
    <row r="659" spans="1:13" x14ac:dyDescent="0.25">
      <c r="A659" s="497"/>
      <c r="B659" s="545">
        <v>42573</v>
      </c>
      <c r="C659" s="497">
        <v>140</v>
      </c>
      <c r="D659" s="498">
        <v>14.08</v>
      </c>
      <c r="E659" s="499">
        <v>0</v>
      </c>
      <c r="F659" s="499">
        <f t="shared" si="204"/>
        <v>1971.2</v>
      </c>
      <c r="G659" s="496">
        <v>42580</v>
      </c>
      <c r="H659" s="513">
        <v>200</v>
      </c>
      <c r="I659" s="498">
        <v>13.58</v>
      </c>
      <c r="J659" s="499">
        <v>0.06</v>
      </c>
      <c r="K659" s="499">
        <f t="shared" si="205"/>
        <v>2715.94</v>
      </c>
      <c r="L659" s="497"/>
      <c r="M659" s="499"/>
    </row>
    <row r="660" spans="1:13" x14ac:dyDescent="0.25">
      <c r="A660" s="497"/>
      <c r="B660" s="545">
        <v>42576</v>
      </c>
      <c r="C660" s="497">
        <v>200</v>
      </c>
      <c r="D660" s="498">
        <v>13.55</v>
      </c>
      <c r="E660" s="499">
        <v>0</v>
      </c>
      <c r="F660" s="499">
        <f t="shared" si="204"/>
        <v>2710</v>
      </c>
      <c r="G660" s="496">
        <v>42586</v>
      </c>
      <c r="H660" s="513">
        <v>400</v>
      </c>
      <c r="I660" s="498">
        <v>13.78</v>
      </c>
      <c r="J660" s="499">
        <v>0.12</v>
      </c>
      <c r="K660" s="499">
        <f t="shared" si="205"/>
        <v>5511.88</v>
      </c>
      <c r="L660" s="497"/>
      <c r="M660" s="499"/>
    </row>
    <row r="661" spans="1:13" x14ac:dyDescent="0.25">
      <c r="A661" s="497"/>
      <c r="B661" s="545">
        <v>42578</v>
      </c>
      <c r="C661" s="497">
        <v>200</v>
      </c>
      <c r="D661" s="498">
        <v>13.18</v>
      </c>
      <c r="E661" s="499">
        <v>0</v>
      </c>
      <c r="F661" s="499">
        <f t="shared" si="204"/>
        <v>2636</v>
      </c>
      <c r="G661" s="496">
        <v>42586</v>
      </c>
      <c r="H661" s="513">
        <v>400</v>
      </c>
      <c r="I661" s="498">
        <v>13.72</v>
      </c>
      <c r="J661" s="499">
        <v>0.12</v>
      </c>
      <c r="K661" s="499">
        <f t="shared" si="205"/>
        <v>5487.88</v>
      </c>
      <c r="L661" s="497"/>
      <c r="M661" s="499"/>
    </row>
    <row r="662" spans="1:13" x14ac:dyDescent="0.25">
      <c r="A662" s="497"/>
      <c r="B662" s="545">
        <v>42580</v>
      </c>
      <c r="C662" s="497">
        <v>200</v>
      </c>
      <c r="D662" s="498">
        <v>13.15</v>
      </c>
      <c r="E662" s="499">
        <v>0</v>
      </c>
      <c r="F662" s="499">
        <f t="shared" si="204"/>
        <v>2630</v>
      </c>
      <c r="G662" s="496">
        <v>42586</v>
      </c>
      <c r="H662" s="513">
        <v>140</v>
      </c>
      <c r="I662" s="498">
        <v>13.88</v>
      </c>
      <c r="J662" s="499">
        <v>0.04</v>
      </c>
      <c r="K662" s="499">
        <f t="shared" si="205"/>
        <v>1943.16</v>
      </c>
      <c r="L662" s="497"/>
      <c r="M662" s="499"/>
    </row>
    <row r="663" spans="1:13" x14ac:dyDescent="0.25">
      <c r="A663" s="497"/>
      <c r="B663" s="545">
        <v>42583</v>
      </c>
      <c r="C663" s="594">
        <v>20</v>
      </c>
      <c r="D663" s="498">
        <v>13.02</v>
      </c>
      <c r="E663" s="499">
        <v>0</v>
      </c>
      <c r="F663" s="499">
        <f t="shared" si="204"/>
        <v>260.39999999999998</v>
      </c>
      <c r="G663" s="496">
        <v>42593</v>
      </c>
      <c r="H663" s="513">
        <v>460</v>
      </c>
      <c r="I663" s="498">
        <v>14.59</v>
      </c>
      <c r="J663" s="499">
        <v>0.15</v>
      </c>
      <c r="K663" s="499">
        <f t="shared" si="205"/>
        <v>6711.25</v>
      </c>
      <c r="L663" s="497"/>
      <c r="M663" s="499"/>
    </row>
    <row r="664" spans="1:13" x14ac:dyDescent="0.25">
      <c r="A664" s="497"/>
      <c r="B664" s="545">
        <v>42583</v>
      </c>
      <c r="C664" s="497">
        <v>180</v>
      </c>
      <c r="D664" s="498">
        <v>13.02</v>
      </c>
      <c r="E664" s="499">
        <v>0</v>
      </c>
      <c r="F664" s="499">
        <f t="shared" si="204"/>
        <v>2343.6</v>
      </c>
      <c r="G664" s="496">
        <v>42594</v>
      </c>
      <c r="H664" s="513">
        <v>500</v>
      </c>
      <c r="I664" s="498">
        <v>14.88</v>
      </c>
      <c r="J664" s="499">
        <v>0.16</v>
      </c>
      <c r="K664" s="499">
        <f t="shared" si="205"/>
        <v>7439.84</v>
      </c>
      <c r="L664" s="497"/>
      <c r="M664" s="499"/>
    </row>
    <row r="665" spans="1:13" x14ac:dyDescent="0.25">
      <c r="A665" s="497"/>
      <c r="B665" s="545">
        <v>42584</v>
      </c>
      <c r="C665" s="497">
        <v>120</v>
      </c>
      <c r="D665" s="498">
        <v>12.68</v>
      </c>
      <c r="E665" s="499">
        <v>0</v>
      </c>
      <c r="F665" s="499">
        <f t="shared" si="204"/>
        <v>1521.6</v>
      </c>
      <c r="G665" s="496">
        <v>42598</v>
      </c>
      <c r="H665" s="513">
        <v>500</v>
      </c>
      <c r="I665" s="498">
        <v>15.18</v>
      </c>
      <c r="J665" s="499">
        <v>0.17</v>
      </c>
      <c r="K665" s="499">
        <f t="shared" si="205"/>
        <v>7589.83</v>
      </c>
      <c r="L665" s="497"/>
      <c r="M665" s="499"/>
    </row>
    <row r="666" spans="1:13" x14ac:dyDescent="0.25">
      <c r="A666" s="497"/>
      <c r="B666" s="545">
        <v>42584</v>
      </c>
      <c r="C666" s="497">
        <v>80</v>
      </c>
      <c r="D666" s="498">
        <v>12.68</v>
      </c>
      <c r="E666" s="499">
        <v>0</v>
      </c>
      <c r="F666" s="499">
        <f t="shared" si="204"/>
        <v>1014.4</v>
      </c>
      <c r="G666" s="496">
        <v>42599</v>
      </c>
      <c r="H666" s="513">
        <v>500</v>
      </c>
      <c r="I666" s="498">
        <v>15.18</v>
      </c>
      <c r="J666" s="499">
        <v>0.17</v>
      </c>
      <c r="K666" s="499">
        <f t="shared" si="205"/>
        <v>7589.83</v>
      </c>
      <c r="L666" s="497"/>
      <c r="M666" s="499"/>
    </row>
    <row r="667" spans="1:13" x14ac:dyDescent="0.25">
      <c r="A667" s="497"/>
      <c r="B667" s="545">
        <v>42585</v>
      </c>
      <c r="C667" s="497">
        <v>242</v>
      </c>
      <c r="D667" s="498">
        <v>13.38</v>
      </c>
      <c r="E667" s="499">
        <v>0</v>
      </c>
      <c r="F667" s="499">
        <f t="shared" si="204"/>
        <v>3237.96</v>
      </c>
      <c r="G667" s="496">
        <v>42599</v>
      </c>
      <c r="H667" s="513">
        <v>500</v>
      </c>
      <c r="I667" s="498">
        <v>15.41</v>
      </c>
      <c r="J667" s="499">
        <v>0.17</v>
      </c>
      <c r="K667" s="499">
        <f t="shared" si="205"/>
        <v>7704.83</v>
      </c>
      <c r="L667" s="497"/>
      <c r="M667" s="499"/>
    </row>
    <row r="668" spans="1:13" x14ac:dyDescent="0.25">
      <c r="A668" s="497"/>
      <c r="B668" s="545">
        <v>42585</v>
      </c>
      <c r="C668" s="497">
        <v>158</v>
      </c>
      <c r="D668" s="498">
        <v>13.38</v>
      </c>
      <c r="E668" s="499">
        <v>0</v>
      </c>
      <c r="F668" s="499">
        <f t="shared" si="204"/>
        <v>2114.04</v>
      </c>
      <c r="G668" s="496">
        <v>42599</v>
      </c>
      <c r="H668" s="513">
        <v>500</v>
      </c>
      <c r="I668" s="498">
        <v>15.65</v>
      </c>
      <c r="J668" s="499">
        <v>0.17</v>
      </c>
      <c r="K668" s="499">
        <f t="shared" si="205"/>
        <v>7824.83</v>
      </c>
      <c r="L668" s="497"/>
      <c r="M668" s="499"/>
    </row>
    <row r="669" spans="1:13" ht="45" x14ac:dyDescent="0.25">
      <c r="A669" s="497"/>
      <c r="B669" s="545">
        <v>42594</v>
      </c>
      <c r="C669" s="497">
        <v>500</v>
      </c>
      <c r="D669" s="498">
        <v>14.65</v>
      </c>
      <c r="E669" s="499">
        <v>0</v>
      </c>
      <c r="F669" s="499">
        <f t="shared" si="204"/>
        <v>7325</v>
      </c>
      <c r="G669" s="616" t="s">
        <v>255</v>
      </c>
      <c r="H669" s="513">
        <v>500</v>
      </c>
      <c r="I669" s="498">
        <v>16.18</v>
      </c>
      <c r="J669" s="499">
        <v>0.18</v>
      </c>
      <c r="K669" s="499">
        <f t="shared" si="205"/>
        <v>8089.82</v>
      </c>
      <c r="L669" s="497"/>
      <c r="M669" s="499"/>
    </row>
    <row r="670" spans="1:13" x14ac:dyDescent="0.25">
      <c r="A670" s="497"/>
      <c r="B670" s="545">
        <v>42599</v>
      </c>
      <c r="C670" s="497">
        <v>242</v>
      </c>
      <c r="D670" s="498">
        <v>14.95</v>
      </c>
      <c r="E670" s="499">
        <v>0</v>
      </c>
      <c r="F670" s="499">
        <f t="shared" si="204"/>
        <v>3617.8999999999996</v>
      </c>
      <c r="G670" s="616"/>
      <c r="H670" s="513">
        <v>500</v>
      </c>
      <c r="I670" s="498">
        <v>16.38</v>
      </c>
      <c r="J670" s="499">
        <v>0.18</v>
      </c>
      <c r="K670" s="499">
        <f t="shared" si="205"/>
        <v>8189.8199999999988</v>
      </c>
      <c r="L670" s="497"/>
      <c r="M670" s="499"/>
    </row>
    <row r="671" spans="1:13" x14ac:dyDescent="0.25">
      <c r="A671" s="497"/>
      <c r="B671" s="545">
        <v>42599</v>
      </c>
      <c r="C671" s="497">
        <v>200</v>
      </c>
      <c r="D671" s="498">
        <v>14.95</v>
      </c>
      <c r="E671" s="499">
        <v>0</v>
      </c>
      <c r="F671" s="499">
        <f t="shared" si="204"/>
        <v>2990</v>
      </c>
      <c r="G671" s="616"/>
      <c r="H671" s="513">
        <v>178</v>
      </c>
      <c r="I671" s="498">
        <v>16.5</v>
      </c>
      <c r="J671" s="499">
        <v>0.06</v>
      </c>
      <c r="K671" s="499">
        <f t="shared" si="205"/>
        <v>2936.94</v>
      </c>
      <c r="L671" s="497"/>
      <c r="M671" s="499"/>
    </row>
    <row r="672" spans="1:13" x14ac:dyDescent="0.25">
      <c r="A672" s="497"/>
      <c r="B672" s="545">
        <v>42599</v>
      </c>
      <c r="C672" s="497">
        <v>36</v>
      </c>
      <c r="D672" s="498">
        <v>14.95</v>
      </c>
      <c r="E672" s="499">
        <v>0</v>
      </c>
      <c r="F672" s="499">
        <f t="shared" si="204"/>
        <v>538.19999999999993</v>
      </c>
      <c r="G672" s="616"/>
      <c r="H672" s="513">
        <v>500</v>
      </c>
      <c r="I672" s="498">
        <v>16.72</v>
      </c>
      <c r="J672" s="499">
        <v>0.18</v>
      </c>
      <c r="K672" s="499">
        <f t="shared" si="205"/>
        <v>8359.82</v>
      </c>
      <c r="L672" s="497"/>
      <c r="M672" s="499"/>
    </row>
    <row r="673" spans="1:13" x14ac:dyDescent="0.25">
      <c r="A673" s="497"/>
      <c r="B673" s="545">
        <v>42599</v>
      </c>
      <c r="C673" s="497">
        <v>22</v>
      </c>
      <c r="D673" s="498">
        <v>14.95</v>
      </c>
      <c r="E673" s="499">
        <v>0</v>
      </c>
      <c r="F673" s="499">
        <f t="shared" si="204"/>
        <v>328.9</v>
      </c>
      <c r="G673" s="496">
        <v>42601</v>
      </c>
      <c r="H673" s="513">
        <v>500</v>
      </c>
      <c r="I673" s="498">
        <v>16.82</v>
      </c>
      <c r="J673" s="499">
        <v>0.18</v>
      </c>
      <c r="K673" s="499">
        <f t="shared" si="205"/>
        <v>8409.82</v>
      </c>
      <c r="L673" s="497"/>
      <c r="M673" s="499"/>
    </row>
    <row r="674" spans="1:13" x14ac:dyDescent="0.25">
      <c r="A674" s="497"/>
      <c r="B674" s="545">
        <v>42604</v>
      </c>
      <c r="C674" s="497">
        <v>1000</v>
      </c>
      <c r="D674" s="498">
        <v>15.68</v>
      </c>
      <c r="E674" s="499">
        <v>0</v>
      </c>
      <c r="F674" s="499">
        <f t="shared" si="204"/>
        <v>15680</v>
      </c>
      <c r="G674" s="496">
        <v>42605</v>
      </c>
      <c r="H674" s="513">
        <v>500</v>
      </c>
      <c r="I674" s="498">
        <v>15.98</v>
      </c>
      <c r="J674" s="499">
        <v>0.17</v>
      </c>
      <c r="K674" s="499">
        <f t="shared" si="205"/>
        <v>7989.83</v>
      </c>
      <c r="L674" s="497"/>
      <c r="M674" s="499"/>
    </row>
    <row r="675" spans="1:13" x14ac:dyDescent="0.25">
      <c r="A675" s="497"/>
      <c r="B675" s="545">
        <v>42604</v>
      </c>
      <c r="C675" s="497">
        <v>500</v>
      </c>
      <c r="D675" s="498">
        <v>15.48</v>
      </c>
      <c r="E675" s="499">
        <v>0</v>
      </c>
      <c r="F675" s="499">
        <f t="shared" si="204"/>
        <v>7740</v>
      </c>
      <c r="G675" s="496">
        <v>42605</v>
      </c>
      <c r="H675" s="513">
        <v>500</v>
      </c>
      <c r="I675" s="498">
        <v>16.25</v>
      </c>
      <c r="J675" s="499">
        <v>0.18</v>
      </c>
      <c r="K675" s="499">
        <f t="shared" si="205"/>
        <v>8124.82</v>
      </c>
      <c r="L675" s="497"/>
      <c r="M675" s="499"/>
    </row>
    <row r="676" spans="1:13" x14ac:dyDescent="0.25">
      <c r="A676" s="497"/>
      <c r="B676" s="545">
        <v>42606</v>
      </c>
      <c r="C676" s="497">
        <v>178</v>
      </c>
      <c r="D676" s="498">
        <v>16.059999999999999</v>
      </c>
      <c r="E676" s="499">
        <v>0</v>
      </c>
      <c r="F676" s="499">
        <f t="shared" si="204"/>
        <v>2858.68</v>
      </c>
      <c r="G676" s="496">
        <v>42605</v>
      </c>
      <c r="H676" s="513">
        <v>500</v>
      </c>
      <c r="I676" s="498">
        <v>16.48</v>
      </c>
      <c r="J676" s="499">
        <v>0.18</v>
      </c>
      <c r="K676" s="499">
        <f t="shared" si="205"/>
        <v>8239.82</v>
      </c>
      <c r="L676" s="497"/>
      <c r="M676" s="499"/>
    </row>
    <row r="677" spans="1:13" x14ac:dyDescent="0.25">
      <c r="A677" s="497"/>
      <c r="B677" s="545">
        <v>42608</v>
      </c>
      <c r="C677" s="497">
        <v>500</v>
      </c>
      <c r="D677" s="498">
        <v>15.98</v>
      </c>
      <c r="E677" s="499">
        <v>0</v>
      </c>
      <c r="F677" s="499">
        <f t="shared" si="204"/>
        <v>7990</v>
      </c>
      <c r="G677" s="496">
        <v>42615</v>
      </c>
      <c r="H677" s="513">
        <v>500</v>
      </c>
      <c r="I677" s="498">
        <v>15.65</v>
      </c>
      <c r="J677" s="499">
        <v>0.17</v>
      </c>
      <c r="K677" s="499">
        <f t="shared" si="205"/>
        <v>7824.83</v>
      </c>
      <c r="L677" s="497"/>
      <c r="M677" s="499"/>
    </row>
    <row r="678" spans="1:13" ht="30" x14ac:dyDescent="0.25">
      <c r="A678" s="497"/>
      <c r="B678" s="545">
        <v>42608</v>
      </c>
      <c r="C678" s="497">
        <v>500</v>
      </c>
      <c r="D678" s="498">
        <v>15.85</v>
      </c>
      <c r="E678" s="499">
        <v>0</v>
      </c>
      <c r="F678" s="499">
        <f t="shared" si="204"/>
        <v>7925</v>
      </c>
      <c r="G678" s="496">
        <v>42621</v>
      </c>
      <c r="H678" s="513">
        <v>500</v>
      </c>
      <c r="I678" s="498">
        <v>16.72</v>
      </c>
      <c r="J678" s="499">
        <v>0.18</v>
      </c>
      <c r="K678" s="499">
        <f t="shared" si="205"/>
        <v>8359.82</v>
      </c>
      <c r="L678" s="617" t="s">
        <v>268</v>
      </c>
      <c r="M678" s="499"/>
    </row>
    <row r="679" spans="1:13" x14ac:dyDescent="0.25">
      <c r="A679" s="497"/>
      <c r="B679" s="545">
        <v>42612</v>
      </c>
      <c r="C679" s="497">
        <v>500</v>
      </c>
      <c r="D679" s="498">
        <v>15.68</v>
      </c>
      <c r="E679" s="499">
        <v>0</v>
      </c>
      <c r="F679" s="499">
        <f t="shared" si="204"/>
        <v>7840</v>
      </c>
      <c r="G679" s="496">
        <v>42621</v>
      </c>
      <c r="H679" s="513">
        <v>500</v>
      </c>
      <c r="I679" s="498">
        <v>16.28</v>
      </c>
      <c r="J679" s="499">
        <v>0.18</v>
      </c>
      <c r="K679" s="499">
        <f t="shared" si="205"/>
        <v>8139.8200000000006</v>
      </c>
      <c r="L679" s="617"/>
      <c r="M679" s="499"/>
    </row>
    <row r="680" spans="1:13" x14ac:dyDescent="0.25">
      <c r="A680" s="497"/>
      <c r="B680" s="545">
        <v>42612</v>
      </c>
      <c r="C680" s="497">
        <v>500</v>
      </c>
      <c r="D680" s="498">
        <v>15.55</v>
      </c>
      <c r="E680" s="499">
        <v>0</v>
      </c>
      <c r="F680" s="499">
        <f t="shared" si="204"/>
        <v>7775</v>
      </c>
      <c r="G680" s="496">
        <v>42621</v>
      </c>
      <c r="H680" s="513">
        <v>220</v>
      </c>
      <c r="I680" s="498">
        <v>16.77</v>
      </c>
      <c r="J680" s="499">
        <v>0.08</v>
      </c>
      <c r="K680" s="499">
        <f t="shared" si="205"/>
        <v>3689.32</v>
      </c>
      <c r="L680" s="617"/>
      <c r="M680" s="499"/>
    </row>
    <row r="681" spans="1:13" x14ac:dyDescent="0.25">
      <c r="A681" s="497"/>
      <c r="B681" s="545">
        <v>42613</v>
      </c>
      <c r="C681" s="497">
        <v>500</v>
      </c>
      <c r="D681" s="498">
        <v>15.244999999999999</v>
      </c>
      <c r="E681" s="499">
        <v>0</v>
      </c>
      <c r="F681" s="499">
        <f t="shared" si="204"/>
        <v>7622.5</v>
      </c>
      <c r="G681" s="496">
        <v>42625</v>
      </c>
      <c r="H681" s="513">
        <v>500</v>
      </c>
      <c r="I681" s="498">
        <v>15.5</v>
      </c>
      <c r="J681" s="499">
        <v>0.17</v>
      </c>
      <c r="K681" s="499">
        <f t="shared" si="205"/>
        <v>7749.83</v>
      </c>
      <c r="L681" s="497"/>
      <c r="M681" s="499"/>
    </row>
    <row r="682" spans="1:13" x14ac:dyDescent="0.25">
      <c r="A682" s="497"/>
      <c r="B682" s="545">
        <v>42613</v>
      </c>
      <c r="C682" s="497">
        <v>500</v>
      </c>
      <c r="D682" s="498">
        <v>15.08</v>
      </c>
      <c r="E682" s="499">
        <v>0</v>
      </c>
      <c r="F682" s="499">
        <f t="shared" si="204"/>
        <v>7540</v>
      </c>
      <c r="G682" s="496">
        <v>42628</v>
      </c>
      <c r="H682" s="513">
        <v>300</v>
      </c>
      <c r="I682" s="498">
        <v>14.46</v>
      </c>
      <c r="J682" s="499">
        <v>0.09</v>
      </c>
      <c r="K682" s="499">
        <f t="shared" si="205"/>
        <v>4337.91</v>
      </c>
      <c r="L682" s="497"/>
      <c r="M682" s="499"/>
    </row>
    <row r="683" spans="1:13" x14ac:dyDescent="0.25">
      <c r="A683" s="497"/>
      <c r="B683" s="545">
        <v>42622</v>
      </c>
      <c r="C683" s="497">
        <v>220</v>
      </c>
      <c r="D683" s="498">
        <v>16.25</v>
      </c>
      <c r="E683" s="499">
        <v>0</v>
      </c>
      <c r="F683" s="499">
        <f t="shared" si="204"/>
        <v>3575</v>
      </c>
      <c r="G683" s="496">
        <v>42634</v>
      </c>
      <c r="H683" s="513">
        <v>322</v>
      </c>
      <c r="I683" s="498">
        <v>14.28</v>
      </c>
      <c r="J683" s="499">
        <v>0.1</v>
      </c>
      <c r="K683" s="499">
        <f t="shared" si="205"/>
        <v>4598.0599999999995</v>
      </c>
      <c r="L683" s="497"/>
      <c r="M683" s="499"/>
    </row>
    <row r="684" spans="1:13" x14ac:dyDescent="0.25">
      <c r="A684" s="497"/>
      <c r="B684" s="545">
        <v>42622</v>
      </c>
      <c r="C684" s="497">
        <v>500</v>
      </c>
      <c r="D684" s="498">
        <v>15.98</v>
      </c>
      <c r="E684" s="499">
        <v>0</v>
      </c>
      <c r="F684" s="499">
        <f t="shared" si="204"/>
        <v>7990</v>
      </c>
      <c r="G684" s="496">
        <v>42634</v>
      </c>
      <c r="H684" s="513">
        <v>400</v>
      </c>
      <c r="I684" s="498">
        <v>14.64</v>
      </c>
      <c r="J684" s="499">
        <v>0.13</v>
      </c>
      <c r="K684" s="499">
        <f t="shared" si="205"/>
        <v>5855.87</v>
      </c>
      <c r="L684" s="497"/>
      <c r="M684" s="499"/>
    </row>
    <row r="685" spans="1:13" x14ac:dyDescent="0.25">
      <c r="A685" s="497"/>
      <c r="B685" s="545">
        <v>42622</v>
      </c>
      <c r="C685" s="497">
        <v>500</v>
      </c>
      <c r="D685" s="498">
        <v>15.75</v>
      </c>
      <c r="E685" s="499">
        <v>0</v>
      </c>
      <c r="F685" s="499">
        <f t="shared" si="204"/>
        <v>7875</v>
      </c>
      <c r="G685" s="496">
        <v>42639</v>
      </c>
      <c r="H685" s="513">
        <v>200</v>
      </c>
      <c r="I685" s="498">
        <v>14.72</v>
      </c>
      <c r="J685" s="499">
        <v>0.06</v>
      </c>
      <c r="K685" s="499">
        <f t="shared" si="205"/>
        <v>2943.94</v>
      </c>
      <c r="L685" s="497"/>
      <c r="M685" s="499"/>
    </row>
    <row r="686" spans="1:13" x14ac:dyDescent="0.25">
      <c r="A686" s="497"/>
      <c r="B686" s="545">
        <v>42625</v>
      </c>
      <c r="C686" s="497">
        <v>500</v>
      </c>
      <c r="D686" s="498">
        <v>15.22</v>
      </c>
      <c r="E686" s="499">
        <v>0</v>
      </c>
      <c r="F686" s="499">
        <f t="shared" si="204"/>
        <v>7610</v>
      </c>
      <c r="G686" s="496">
        <v>42641</v>
      </c>
      <c r="H686" s="513">
        <v>300</v>
      </c>
      <c r="I686" s="498">
        <v>15.28</v>
      </c>
      <c r="J686" s="499">
        <v>0.1</v>
      </c>
      <c r="K686" s="499">
        <f t="shared" si="205"/>
        <v>4583.8999999999996</v>
      </c>
      <c r="L686" s="497"/>
      <c r="M686" s="499"/>
    </row>
    <row r="687" spans="1:13" ht="30" x14ac:dyDescent="0.25">
      <c r="A687" s="599" t="s">
        <v>277</v>
      </c>
      <c r="B687" s="545">
        <v>42626</v>
      </c>
      <c r="C687" s="497">
        <v>600</v>
      </c>
      <c r="D687" s="498">
        <v>14.91</v>
      </c>
      <c r="E687" s="499">
        <v>-3</v>
      </c>
      <c r="F687" s="499">
        <f t="shared" si="204"/>
        <v>8943</v>
      </c>
      <c r="G687" s="496">
        <v>42641</v>
      </c>
      <c r="H687" s="513">
        <v>400</v>
      </c>
      <c r="I687" s="498">
        <v>15.06</v>
      </c>
      <c r="J687" s="499">
        <v>0.13</v>
      </c>
      <c r="K687" s="499">
        <f t="shared" si="205"/>
        <v>6023.87</v>
      </c>
      <c r="L687" s="497"/>
      <c r="M687" s="499"/>
    </row>
    <row r="688" spans="1:13" x14ac:dyDescent="0.25">
      <c r="A688" s="599"/>
      <c r="B688" s="545">
        <v>42626</v>
      </c>
      <c r="C688" s="497">
        <v>400</v>
      </c>
      <c r="D688" s="498">
        <v>14.75</v>
      </c>
      <c r="E688" s="499">
        <v>0</v>
      </c>
      <c r="F688" s="499">
        <f t="shared" si="204"/>
        <v>5900</v>
      </c>
      <c r="G688" s="496">
        <v>42641</v>
      </c>
      <c r="H688" s="513">
        <v>322</v>
      </c>
      <c r="I688" s="498">
        <v>14.39</v>
      </c>
      <c r="J688" s="499">
        <v>0.1</v>
      </c>
      <c r="K688" s="499">
        <f t="shared" si="205"/>
        <v>4633.4799999999996</v>
      </c>
      <c r="L688" s="497"/>
      <c r="M688" s="499"/>
    </row>
    <row r="689" spans="1:13" x14ac:dyDescent="0.25">
      <c r="A689" s="599"/>
      <c r="B689" s="545">
        <v>42626</v>
      </c>
      <c r="C689" s="497">
        <v>300</v>
      </c>
      <c r="D689" s="498">
        <v>14.48</v>
      </c>
      <c r="E689" s="499">
        <v>0</v>
      </c>
      <c r="F689" s="499">
        <f t="shared" si="204"/>
        <v>4344</v>
      </c>
      <c r="G689" s="496">
        <v>42641</v>
      </c>
      <c r="H689" s="513">
        <v>500</v>
      </c>
      <c r="I689" s="498">
        <v>14.26</v>
      </c>
      <c r="J689" s="499">
        <v>0.16</v>
      </c>
      <c r="K689" s="499">
        <f t="shared" si="205"/>
        <v>7129.84</v>
      </c>
      <c r="L689" s="497"/>
      <c r="M689" s="499"/>
    </row>
    <row r="690" spans="1:13" x14ac:dyDescent="0.25">
      <c r="A690" s="599"/>
      <c r="B690" s="545">
        <v>42626</v>
      </c>
      <c r="C690" s="497">
        <v>300</v>
      </c>
      <c r="D690" s="498">
        <v>14.25</v>
      </c>
      <c r="E690" s="499">
        <v>0</v>
      </c>
      <c r="F690" s="499">
        <f t="shared" si="204"/>
        <v>4275</v>
      </c>
      <c r="G690" s="496">
        <v>42642</v>
      </c>
      <c r="H690" s="513">
        <v>300</v>
      </c>
      <c r="I690" s="498">
        <v>15.28</v>
      </c>
      <c r="J690" s="499">
        <v>0.1</v>
      </c>
      <c r="K690" s="499">
        <f t="shared" si="205"/>
        <v>4583.8999999999996</v>
      </c>
      <c r="L690" s="497"/>
      <c r="M690" s="499"/>
    </row>
    <row r="691" spans="1:13" x14ac:dyDescent="0.25">
      <c r="A691" s="599"/>
      <c r="B691" s="545">
        <v>42627</v>
      </c>
      <c r="C691" s="497">
        <v>200</v>
      </c>
      <c r="D691" s="498">
        <v>14.02</v>
      </c>
      <c r="E691" s="499">
        <v>-1</v>
      </c>
      <c r="F691" s="499">
        <f t="shared" si="204"/>
        <v>2803</v>
      </c>
      <c r="G691" s="496">
        <v>42642</v>
      </c>
      <c r="H691" s="513">
        <v>700</v>
      </c>
      <c r="I691" s="498">
        <v>15.78</v>
      </c>
      <c r="J691" s="499">
        <v>0.24</v>
      </c>
      <c r="K691" s="499">
        <f t="shared" si="205"/>
        <v>11045.76</v>
      </c>
      <c r="L691" s="497"/>
      <c r="M691" s="499"/>
    </row>
    <row r="692" spans="1:13" x14ac:dyDescent="0.25">
      <c r="A692" s="497"/>
      <c r="B692" s="545">
        <v>42628</v>
      </c>
      <c r="C692" s="497">
        <v>300</v>
      </c>
      <c r="D692" s="498">
        <v>14.3</v>
      </c>
      <c r="E692" s="499">
        <v>0</v>
      </c>
      <c r="F692" s="499">
        <f t="shared" si="204"/>
        <v>4290</v>
      </c>
      <c r="G692" s="496">
        <v>42642</v>
      </c>
      <c r="H692" s="513">
        <v>214</v>
      </c>
      <c r="I692" s="498">
        <v>15.98</v>
      </c>
      <c r="J692" s="499">
        <v>7.0000000000000007E-2</v>
      </c>
      <c r="K692" s="499">
        <f t="shared" si="205"/>
        <v>3419.65</v>
      </c>
      <c r="L692" s="497"/>
      <c r="M692" s="499"/>
    </row>
    <row r="693" spans="1:13" x14ac:dyDescent="0.25">
      <c r="A693" s="497"/>
      <c r="B693" s="545">
        <v>42632</v>
      </c>
      <c r="C693" s="497">
        <v>200</v>
      </c>
      <c r="D693" s="498">
        <v>14.06</v>
      </c>
      <c r="E693" s="499">
        <v>0</v>
      </c>
      <c r="F693" s="499">
        <f t="shared" si="204"/>
        <v>2812</v>
      </c>
      <c r="G693" s="496">
        <v>42648</v>
      </c>
      <c r="H693" s="513">
        <v>1000</v>
      </c>
      <c r="I693" s="498">
        <v>16.079999999999998</v>
      </c>
      <c r="J693" s="499">
        <v>0.35</v>
      </c>
      <c r="K693" s="499">
        <f t="shared" si="205"/>
        <v>16079.649999999998</v>
      </c>
      <c r="L693" s="497"/>
      <c r="M693" s="499"/>
    </row>
    <row r="694" spans="1:13" x14ac:dyDescent="0.25">
      <c r="A694" s="497"/>
      <c r="B694" s="545">
        <v>42633</v>
      </c>
      <c r="C694" s="497">
        <v>200</v>
      </c>
      <c r="D694" s="498">
        <v>14.11</v>
      </c>
      <c r="E694" s="499">
        <v>0</v>
      </c>
      <c r="F694" s="499">
        <f t="shared" si="204"/>
        <v>2822</v>
      </c>
      <c r="G694" s="496">
        <v>42648</v>
      </c>
      <c r="H694" s="513">
        <v>500</v>
      </c>
      <c r="I694" s="498">
        <v>16.38</v>
      </c>
      <c r="J694" s="499">
        <v>0.18</v>
      </c>
      <c r="K694" s="499">
        <f t="shared" si="205"/>
        <v>8189.8199999999988</v>
      </c>
      <c r="L694" s="497"/>
      <c r="M694" s="499"/>
    </row>
    <row r="695" spans="1:13" x14ac:dyDescent="0.25">
      <c r="A695" s="497"/>
      <c r="B695" s="545">
        <v>42633</v>
      </c>
      <c r="C695" s="497">
        <v>122</v>
      </c>
      <c r="D695" s="498">
        <v>14.1</v>
      </c>
      <c r="E695" s="499">
        <v>0</v>
      </c>
      <c r="F695" s="499">
        <f t="shared" si="204"/>
        <v>1720.2</v>
      </c>
      <c r="G695" s="496">
        <v>42649</v>
      </c>
      <c r="H695" s="513">
        <v>500</v>
      </c>
      <c r="I695" s="498">
        <v>16.16</v>
      </c>
      <c r="J695" s="499">
        <v>0.18</v>
      </c>
      <c r="K695" s="499">
        <f t="shared" si="205"/>
        <v>8079.82</v>
      </c>
      <c r="L695" s="497"/>
      <c r="M695" s="499"/>
    </row>
    <row r="696" spans="1:13" x14ac:dyDescent="0.25">
      <c r="A696" s="497"/>
      <c r="B696" s="545">
        <v>42636</v>
      </c>
      <c r="C696" s="497">
        <v>200</v>
      </c>
      <c r="D696" s="498">
        <v>14.38</v>
      </c>
      <c r="E696" s="499">
        <v>0</v>
      </c>
      <c r="F696" s="499">
        <f t="shared" si="204"/>
        <v>2876</v>
      </c>
      <c r="G696" s="496">
        <v>42671</v>
      </c>
      <c r="H696" s="513">
        <v>1000</v>
      </c>
      <c r="I696" s="498">
        <v>14.22</v>
      </c>
      <c r="J696" s="499">
        <v>0.31</v>
      </c>
      <c r="K696" s="499">
        <f t="shared" si="205"/>
        <v>14219.69</v>
      </c>
      <c r="L696" s="497"/>
      <c r="M696" s="499"/>
    </row>
    <row r="697" spans="1:13" x14ac:dyDescent="0.25">
      <c r="A697" s="497"/>
      <c r="B697" s="545">
        <v>42639</v>
      </c>
      <c r="C697" s="497">
        <v>200</v>
      </c>
      <c r="D697" s="498">
        <v>14.5</v>
      </c>
      <c r="E697" s="499">
        <v>0</v>
      </c>
      <c r="F697" s="499">
        <f t="shared" ref="F697:F711" si="206">C697*D697+E697</f>
        <v>2900</v>
      </c>
      <c r="G697" s="496">
        <v>42674</v>
      </c>
      <c r="H697" s="513">
        <v>300</v>
      </c>
      <c r="I697" s="498">
        <v>13.42</v>
      </c>
      <c r="J697" s="499">
        <v>0.09</v>
      </c>
      <c r="K697" s="499">
        <f t="shared" si="205"/>
        <v>4025.91</v>
      </c>
      <c r="L697" s="497"/>
      <c r="M697" s="499"/>
    </row>
    <row r="698" spans="1:13" x14ac:dyDescent="0.25">
      <c r="A698" s="497"/>
      <c r="B698" s="545">
        <v>42639</v>
      </c>
      <c r="C698" s="497">
        <v>200</v>
      </c>
      <c r="D698" s="498">
        <v>14.38</v>
      </c>
      <c r="E698" s="499">
        <v>0</v>
      </c>
      <c r="F698" s="499">
        <f t="shared" si="206"/>
        <v>2876</v>
      </c>
      <c r="G698" s="496">
        <v>42674</v>
      </c>
      <c r="H698" s="513">
        <v>200</v>
      </c>
      <c r="I698" s="498">
        <v>13.25</v>
      </c>
      <c r="J698" s="499">
        <v>-0.74</v>
      </c>
      <c r="K698" s="499">
        <f t="shared" si="205"/>
        <v>2650.74</v>
      </c>
      <c r="L698" s="497"/>
      <c r="M698" s="499"/>
    </row>
    <row r="699" spans="1:13" x14ac:dyDescent="0.25">
      <c r="A699" s="497"/>
      <c r="B699" s="545">
        <v>42640</v>
      </c>
      <c r="C699" s="497">
        <v>322</v>
      </c>
      <c r="D699" s="498">
        <v>13.97</v>
      </c>
      <c r="E699" s="499">
        <v>0</v>
      </c>
      <c r="F699" s="499">
        <f t="shared" si="206"/>
        <v>4498.34</v>
      </c>
      <c r="G699" s="496">
        <v>42676</v>
      </c>
      <c r="H699" s="513">
        <v>200</v>
      </c>
      <c r="I699" s="498">
        <v>13.05</v>
      </c>
      <c r="J699" s="499">
        <v>0.06</v>
      </c>
      <c r="K699" s="499">
        <f t="shared" si="205"/>
        <v>2609.94</v>
      </c>
      <c r="L699" s="497"/>
      <c r="M699" s="499"/>
    </row>
    <row r="700" spans="1:13" x14ac:dyDescent="0.25">
      <c r="A700" s="497"/>
      <c r="B700" s="545">
        <v>42641</v>
      </c>
      <c r="C700" s="497">
        <v>300</v>
      </c>
      <c r="D700" s="498">
        <v>14.02</v>
      </c>
      <c r="E700" s="499">
        <v>-1.26</v>
      </c>
      <c r="F700" s="499">
        <f t="shared" si="206"/>
        <v>4204.74</v>
      </c>
      <c r="G700" s="496">
        <v>42677</v>
      </c>
      <c r="H700" s="513">
        <v>500</v>
      </c>
      <c r="I700" s="498">
        <v>13.96</v>
      </c>
      <c r="J700" s="499">
        <v>0.15</v>
      </c>
      <c r="K700" s="499">
        <f t="shared" si="205"/>
        <v>6979.85</v>
      </c>
      <c r="L700" s="497"/>
      <c r="M700" s="499"/>
    </row>
    <row r="701" spans="1:13" x14ac:dyDescent="0.25">
      <c r="A701" s="497"/>
      <c r="B701" s="545">
        <v>42641</v>
      </c>
      <c r="C701" s="497">
        <v>200</v>
      </c>
      <c r="D701" s="498">
        <v>14.17</v>
      </c>
      <c r="E701" s="499">
        <v>0</v>
      </c>
      <c r="F701" s="499">
        <f t="shared" si="206"/>
        <v>2834</v>
      </c>
      <c r="G701" s="496">
        <v>42677</v>
      </c>
      <c r="H701" s="513">
        <v>2000</v>
      </c>
      <c r="I701" s="498">
        <v>14.5</v>
      </c>
      <c r="J701" s="499">
        <v>0.63</v>
      </c>
      <c r="K701" s="499">
        <f t="shared" si="205"/>
        <v>28999.37</v>
      </c>
      <c r="L701" s="497"/>
      <c r="M701" s="499"/>
    </row>
    <row r="702" spans="1:13" x14ac:dyDescent="0.25">
      <c r="A702" s="497"/>
      <c r="B702" s="545">
        <v>42642</v>
      </c>
      <c r="C702" s="497">
        <v>414</v>
      </c>
      <c r="D702" s="498">
        <v>15.66</v>
      </c>
      <c r="E702" s="499">
        <v>0</v>
      </c>
      <c r="F702" s="499">
        <f t="shared" si="206"/>
        <v>6483.24</v>
      </c>
      <c r="G702" s="496">
        <v>42682</v>
      </c>
      <c r="H702" s="513">
        <v>1000</v>
      </c>
      <c r="I702" s="498">
        <v>14.28</v>
      </c>
      <c r="J702" s="499">
        <v>0.31</v>
      </c>
      <c r="K702" s="499">
        <f t="shared" si="205"/>
        <v>14279.69</v>
      </c>
      <c r="L702" s="497"/>
      <c r="M702" s="499"/>
    </row>
    <row r="703" spans="1:13" ht="30" x14ac:dyDescent="0.25">
      <c r="A703" s="599" t="s">
        <v>292</v>
      </c>
      <c r="B703" s="545">
        <v>42647</v>
      </c>
      <c r="C703" s="497">
        <v>500</v>
      </c>
      <c r="D703" s="498">
        <v>15.86</v>
      </c>
      <c r="E703" s="499">
        <v>0</v>
      </c>
      <c r="F703" s="499">
        <f t="shared" si="206"/>
        <v>7930</v>
      </c>
      <c r="G703" s="496">
        <v>42685</v>
      </c>
      <c r="H703" s="513">
        <v>500</v>
      </c>
      <c r="I703" s="498">
        <v>15.88</v>
      </c>
      <c r="J703" s="499">
        <v>0.17</v>
      </c>
      <c r="K703" s="499">
        <f t="shared" si="205"/>
        <v>7939.83</v>
      </c>
      <c r="L703" s="497"/>
      <c r="M703" s="499"/>
    </row>
    <row r="704" spans="1:13" x14ac:dyDescent="0.25">
      <c r="A704" s="599"/>
      <c r="B704" s="545">
        <v>42647</v>
      </c>
      <c r="C704" s="497">
        <v>500</v>
      </c>
      <c r="D704" s="498">
        <v>15.62</v>
      </c>
      <c r="E704" s="499">
        <v>0</v>
      </c>
      <c r="F704" s="499">
        <f t="shared" si="206"/>
        <v>7810</v>
      </c>
      <c r="G704" s="496">
        <v>42695</v>
      </c>
      <c r="H704" s="513">
        <v>2272</v>
      </c>
      <c r="I704" s="498">
        <v>16.28</v>
      </c>
      <c r="J704" s="499">
        <v>0.81</v>
      </c>
      <c r="K704" s="499">
        <f t="shared" si="205"/>
        <v>36987.350000000006</v>
      </c>
      <c r="L704" s="497"/>
      <c r="M704" s="499"/>
    </row>
    <row r="705" spans="1:13" x14ac:dyDescent="0.25">
      <c r="A705" s="599"/>
      <c r="B705" s="545">
        <v>42649</v>
      </c>
      <c r="C705" s="497">
        <v>500</v>
      </c>
      <c r="D705" s="498">
        <v>15.97</v>
      </c>
      <c r="E705" s="499">
        <v>0</v>
      </c>
      <c r="F705" s="499">
        <f t="shared" si="206"/>
        <v>7985</v>
      </c>
      <c r="G705" s="496">
        <v>42695</v>
      </c>
      <c r="H705" s="513">
        <v>500</v>
      </c>
      <c r="I705" s="498">
        <v>16.45</v>
      </c>
      <c r="J705" s="499">
        <v>0.18</v>
      </c>
      <c r="K705" s="499">
        <f t="shared" si="205"/>
        <v>8224.82</v>
      </c>
      <c r="L705" s="497"/>
      <c r="M705" s="499"/>
    </row>
    <row r="706" spans="1:13" x14ac:dyDescent="0.25">
      <c r="A706" s="599"/>
      <c r="B706" s="545">
        <v>42649</v>
      </c>
      <c r="C706" s="497">
        <v>500</v>
      </c>
      <c r="D706" s="498">
        <v>15.84</v>
      </c>
      <c r="E706" s="499">
        <v>0</v>
      </c>
      <c r="F706" s="499">
        <f t="shared" si="206"/>
        <v>7920</v>
      </c>
      <c r="G706" s="496">
        <v>42696</v>
      </c>
      <c r="H706" s="513">
        <v>500</v>
      </c>
      <c r="I706" s="498">
        <v>16.54</v>
      </c>
      <c r="J706" s="499">
        <v>0.18</v>
      </c>
      <c r="K706" s="499">
        <f t="shared" si="205"/>
        <v>8269.82</v>
      </c>
      <c r="L706" s="497"/>
      <c r="M706" s="499"/>
    </row>
    <row r="707" spans="1:13" x14ac:dyDescent="0.25">
      <c r="A707" s="497"/>
      <c r="B707" s="545">
        <v>42649</v>
      </c>
      <c r="C707" s="497">
        <v>500</v>
      </c>
      <c r="D707" s="498">
        <v>16.079999999999998</v>
      </c>
      <c r="E707" s="499">
        <v>0</v>
      </c>
      <c r="F707" s="499">
        <f t="shared" si="206"/>
        <v>8039.9999999999991</v>
      </c>
      <c r="G707" s="496">
        <v>42697</v>
      </c>
      <c r="H707" s="513">
        <v>200</v>
      </c>
      <c r="I707" s="498">
        <v>16.79</v>
      </c>
      <c r="J707" s="499">
        <v>7.0000000000000007E-2</v>
      </c>
      <c r="K707" s="499">
        <f t="shared" si="205"/>
        <v>3357.93</v>
      </c>
      <c r="L707" s="497"/>
      <c r="M707" s="499"/>
    </row>
    <row r="708" spans="1:13" x14ac:dyDescent="0.25">
      <c r="A708" s="497"/>
      <c r="B708" s="545">
        <v>42650</v>
      </c>
      <c r="C708" s="497">
        <v>300</v>
      </c>
      <c r="D708" s="498">
        <v>15.75</v>
      </c>
      <c r="E708" s="499">
        <v>0</v>
      </c>
      <c r="F708" s="499">
        <f t="shared" si="206"/>
        <v>4725</v>
      </c>
      <c r="G708" s="496">
        <v>42697</v>
      </c>
      <c r="H708" s="513">
        <v>500</v>
      </c>
      <c r="I708" s="498">
        <v>16.59</v>
      </c>
      <c r="J708" s="499">
        <v>0.18</v>
      </c>
      <c r="K708" s="499">
        <f t="shared" si="205"/>
        <v>8294.82</v>
      </c>
      <c r="L708" s="497"/>
      <c r="M708" s="499"/>
    </row>
    <row r="709" spans="1:13" x14ac:dyDescent="0.25">
      <c r="A709" s="497"/>
      <c r="B709" s="545">
        <v>42650</v>
      </c>
      <c r="C709" s="497">
        <v>300</v>
      </c>
      <c r="D709" s="498">
        <v>15.58</v>
      </c>
      <c r="E709" s="499">
        <v>0</v>
      </c>
      <c r="F709" s="499">
        <f t="shared" si="206"/>
        <v>4674</v>
      </c>
      <c r="G709" s="496">
        <v>42704</v>
      </c>
      <c r="H709" s="513">
        <v>1000</v>
      </c>
      <c r="I709" s="498">
        <v>16.420000000000002</v>
      </c>
      <c r="J709" s="499">
        <v>0.36</v>
      </c>
      <c r="K709" s="499">
        <f t="shared" si="205"/>
        <v>16419.64</v>
      </c>
      <c r="L709" s="497"/>
      <c r="M709" s="499"/>
    </row>
    <row r="710" spans="1:13" x14ac:dyDescent="0.25">
      <c r="A710" s="497"/>
      <c r="B710" s="545">
        <v>42653</v>
      </c>
      <c r="C710" s="497">
        <v>394</v>
      </c>
      <c r="D710" s="498">
        <v>15.72</v>
      </c>
      <c r="E710" s="499">
        <v>0</v>
      </c>
      <c r="F710" s="499">
        <f t="shared" si="206"/>
        <v>6193.68</v>
      </c>
      <c r="G710" s="496">
        <v>42704</v>
      </c>
      <c r="H710" s="513">
        <v>300</v>
      </c>
      <c r="I710" s="498">
        <v>16.78</v>
      </c>
      <c r="J710" s="499">
        <v>1.61</v>
      </c>
      <c r="K710" s="499">
        <f t="shared" si="205"/>
        <v>5032.3900000000003</v>
      </c>
      <c r="L710" s="497"/>
      <c r="M710" s="499"/>
    </row>
    <row r="711" spans="1:13" x14ac:dyDescent="0.25">
      <c r="A711" s="497"/>
      <c r="B711" s="545">
        <v>42653</v>
      </c>
      <c r="C711" s="497">
        <v>6</v>
      </c>
      <c r="D711" s="498">
        <v>15.72</v>
      </c>
      <c r="E711" s="499">
        <v>0</v>
      </c>
      <c r="F711" s="499">
        <f t="shared" si="206"/>
        <v>94.320000000000007</v>
      </c>
      <c r="G711" s="496">
        <v>42704</v>
      </c>
      <c r="H711" s="513">
        <v>1000</v>
      </c>
      <c r="I711" s="498">
        <v>17.079999999999998</v>
      </c>
      <c r="J711" s="499">
        <v>0.37</v>
      </c>
      <c r="K711" s="499">
        <f t="shared" si="205"/>
        <v>17079.63</v>
      </c>
      <c r="L711" s="497"/>
      <c r="M711" s="499"/>
    </row>
    <row r="712" spans="1:13" x14ac:dyDescent="0.25">
      <c r="A712" s="497"/>
      <c r="B712" s="545">
        <v>42655</v>
      </c>
      <c r="C712" s="497">
        <v>22</v>
      </c>
      <c r="D712" s="498">
        <v>15.48</v>
      </c>
      <c r="E712" s="499">
        <v>0</v>
      </c>
      <c r="F712" s="499">
        <f>C712*D712+E712</f>
        <v>340.56</v>
      </c>
      <c r="G712" s="496">
        <v>42704</v>
      </c>
      <c r="H712" s="513">
        <v>1000</v>
      </c>
      <c r="I712" s="498">
        <v>17.32</v>
      </c>
      <c r="J712" s="499">
        <v>0.38</v>
      </c>
      <c r="K712" s="499">
        <f t="shared" si="205"/>
        <v>17319.62</v>
      </c>
      <c r="L712" s="497"/>
      <c r="M712" s="499"/>
    </row>
    <row r="713" spans="1:13" x14ac:dyDescent="0.25">
      <c r="A713" s="497"/>
      <c r="B713" s="545">
        <v>42655</v>
      </c>
      <c r="C713" s="497">
        <v>300</v>
      </c>
      <c r="D713" s="498">
        <v>15.48</v>
      </c>
      <c r="E713" s="499">
        <v>0</v>
      </c>
      <c r="F713" s="499">
        <f>C713*D713+E713</f>
        <v>4644</v>
      </c>
      <c r="G713" s="496">
        <v>42704</v>
      </c>
      <c r="H713" s="513">
        <v>500</v>
      </c>
      <c r="I713" s="498">
        <v>17.64</v>
      </c>
      <c r="J713" s="499">
        <v>0.19</v>
      </c>
      <c r="K713" s="499">
        <f t="shared" si="205"/>
        <v>8819.81</v>
      </c>
      <c r="L713" s="497"/>
      <c r="M713" s="499"/>
    </row>
    <row r="714" spans="1:13" x14ac:dyDescent="0.25">
      <c r="A714" s="600"/>
      <c r="B714" s="545">
        <v>42668</v>
      </c>
      <c r="C714" s="497">
        <v>500</v>
      </c>
      <c r="D714" s="498">
        <v>14.26</v>
      </c>
      <c r="E714" s="499">
        <v>-2.5</v>
      </c>
      <c r="F714" s="499">
        <f t="shared" ref="F714:F723" si="207">C714*D714+E714</f>
        <v>7127.5</v>
      </c>
      <c r="G714" s="496">
        <v>42705</v>
      </c>
      <c r="H714" s="513">
        <v>528</v>
      </c>
      <c r="I714" s="498">
        <v>18.7</v>
      </c>
      <c r="J714" s="499">
        <v>0.22</v>
      </c>
      <c r="K714" s="499">
        <f t="shared" si="205"/>
        <v>9873.380000000001</v>
      </c>
      <c r="L714" s="497"/>
      <c r="M714" s="499"/>
    </row>
    <row r="715" spans="1:13" x14ac:dyDescent="0.25">
      <c r="A715" s="600"/>
      <c r="B715" s="545">
        <v>42668</v>
      </c>
      <c r="C715" s="497">
        <v>500</v>
      </c>
      <c r="D715" s="498">
        <v>14.16</v>
      </c>
      <c r="E715" s="499">
        <v>0</v>
      </c>
      <c r="F715" s="499">
        <f t="shared" si="207"/>
        <v>7080</v>
      </c>
      <c r="G715" s="496">
        <v>42711</v>
      </c>
      <c r="H715" s="513">
        <v>500</v>
      </c>
      <c r="I715" s="498">
        <v>18.329999999999998</v>
      </c>
      <c r="J715" s="499">
        <v>0.2</v>
      </c>
      <c r="K715" s="499">
        <f t="shared" si="205"/>
        <v>9164.7999999999993</v>
      </c>
      <c r="L715" s="497"/>
      <c r="M715" s="499"/>
    </row>
    <row r="716" spans="1:13" x14ac:dyDescent="0.25">
      <c r="A716" s="600"/>
      <c r="B716" s="545">
        <v>42670</v>
      </c>
      <c r="C716" s="497">
        <v>500</v>
      </c>
      <c r="D716" s="498">
        <v>14.18</v>
      </c>
      <c r="E716" s="499">
        <v>0</v>
      </c>
      <c r="F716" s="499">
        <f t="shared" si="207"/>
        <v>7090</v>
      </c>
      <c r="G716" s="496">
        <v>42713</v>
      </c>
      <c r="H716" s="513">
        <v>500</v>
      </c>
      <c r="I716" s="498">
        <v>18.28</v>
      </c>
      <c r="J716" s="499">
        <v>0.2</v>
      </c>
      <c r="K716" s="499">
        <f t="shared" si="205"/>
        <v>9139.7999999999993</v>
      </c>
      <c r="L716" s="497"/>
      <c r="M716" s="499"/>
    </row>
    <row r="717" spans="1:13" x14ac:dyDescent="0.25">
      <c r="A717" s="600"/>
      <c r="B717" s="545">
        <v>42670</v>
      </c>
      <c r="C717" s="497">
        <v>500</v>
      </c>
      <c r="D717" s="498">
        <v>14.05</v>
      </c>
      <c r="E717" s="499">
        <v>0</v>
      </c>
      <c r="F717" s="499">
        <f t="shared" si="207"/>
        <v>7025</v>
      </c>
      <c r="G717" s="496">
        <v>42718</v>
      </c>
      <c r="H717" s="513">
        <v>200</v>
      </c>
      <c r="I717" s="498">
        <v>18.78</v>
      </c>
      <c r="J717" s="499">
        <v>0.08</v>
      </c>
      <c r="K717" s="499">
        <f t="shared" si="205"/>
        <v>3755.92</v>
      </c>
      <c r="L717" s="497"/>
      <c r="M717" s="499"/>
    </row>
    <row r="718" spans="1:13" x14ac:dyDescent="0.25">
      <c r="A718" s="600"/>
      <c r="B718" s="545">
        <v>42670</v>
      </c>
      <c r="C718" s="497">
        <v>500</v>
      </c>
      <c r="D718" s="498">
        <v>13.88</v>
      </c>
      <c r="E718" s="499">
        <v>0</v>
      </c>
      <c r="F718" s="499">
        <f t="shared" si="207"/>
        <v>6940</v>
      </c>
      <c r="G718" s="496">
        <v>42734</v>
      </c>
      <c r="H718" s="513">
        <v>1000</v>
      </c>
      <c r="I718" s="498">
        <v>17.72</v>
      </c>
      <c r="J718" s="499">
        <v>0.39</v>
      </c>
      <c r="K718" s="499">
        <f t="shared" si="205"/>
        <v>17719.61</v>
      </c>
      <c r="L718" s="497"/>
      <c r="M718" s="499"/>
    </row>
    <row r="719" spans="1:13" x14ac:dyDescent="0.25">
      <c r="A719" s="497"/>
      <c r="B719" s="545">
        <v>42671</v>
      </c>
      <c r="C719" s="497">
        <v>1000</v>
      </c>
      <c r="D719" s="498">
        <v>14.15</v>
      </c>
      <c r="E719" s="499">
        <v>0</v>
      </c>
      <c r="F719" s="499">
        <f t="shared" si="207"/>
        <v>14150</v>
      </c>
      <c r="G719" s="496">
        <v>42739</v>
      </c>
      <c r="H719" s="513">
        <v>500</v>
      </c>
      <c r="I719" s="498">
        <v>18.079999999999998</v>
      </c>
      <c r="J719" s="499">
        <v>0.2</v>
      </c>
      <c r="K719" s="499">
        <f t="shared" si="205"/>
        <v>9039.7999999999993</v>
      </c>
      <c r="L719" s="497"/>
      <c r="M719" s="499"/>
    </row>
    <row r="720" spans="1:13" x14ac:dyDescent="0.25">
      <c r="A720" s="497"/>
      <c r="B720" s="545">
        <v>42674</v>
      </c>
      <c r="C720" s="497">
        <v>300</v>
      </c>
      <c r="D720" s="498">
        <v>13.28</v>
      </c>
      <c r="E720" s="499">
        <v>-1.5</v>
      </c>
      <c r="F720" s="499">
        <f t="shared" si="207"/>
        <v>3982.5</v>
      </c>
      <c r="G720" s="496">
        <v>42748</v>
      </c>
      <c r="H720" s="513">
        <v>500</v>
      </c>
      <c r="I720" s="498">
        <v>17.48</v>
      </c>
      <c r="J720" s="499">
        <v>0.19</v>
      </c>
      <c r="K720" s="499">
        <f t="shared" si="205"/>
        <v>8739.81</v>
      </c>
      <c r="L720" s="497"/>
      <c r="M720" s="499"/>
    </row>
    <row r="721" spans="1:13" x14ac:dyDescent="0.25">
      <c r="A721" s="497"/>
      <c r="B721" s="545">
        <v>42674</v>
      </c>
      <c r="C721" s="497">
        <v>200</v>
      </c>
      <c r="D721" s="498">
        <v>13.15</v>
      </c>
      <c r="E721" s="499">
        <v>0.02</v>
      </c>
      <c r="F721" s="499">
        <f t="shared" si="207"/>
        <v>2630.02</v>
      </c>
      <c r="G721" s="496">
        <v>42761</v>
      </c>
      <c r="H721" s="513">
        <v>1000</v>
      </c>
      <c r="I721" s="498">
        <v>17.899999999999999</v>
      </c>
      <c r="J721" s="499">
        <v>0.39</v>
      </c>
      <c r="K721" s="499">
        <f t="shared" si="205"/>
        <v>17899.61</v>
      </c>
      <c r="L721" s="497"/>
      <c r="M721" s="499"/>
    </row>
    <row r="722" spans="1:13" x14ac:dyDescent="0.25">
      <c r="A722" s="497"/>
      <c r="B722" s="545">
        <v>42676</v>
      </c>
      <c r="C722" s="497">
        <v>200</v>
      </c>
      <c r="D722" s="498">
        <v>12.89</v>
      </c>
      <c r="E722" s="499">
        <v>0</v>
      </c>
      <c r="F722" s="499">
        <f t="shared" si="207"/>
        <v>2578</v>
      </c>
      <c r="G722" s="496">
        <v>42766</v>
      </c>
      <c r="H722" s="513">
        <v>300</v>
      </c>
      <c r="I722" s="498">
        <v>16.649999999999999</v>
      </c>
      <c r="J722" s="499">
        <v>0.11</v>
      </c>
      <c r="K722" s="499">
        <f t="shared" si="205"/>
        <v>4994.8900000000003</v>
      </c>
      <c r="L722" s="497"/>
      <c r="M722" s="499"/>
    </row>
    <row r="723" spans="1:13" x14ac:dyDescent="0.25">
      <c r="A723" s="497"/>
      <c r="B723" s="545">
        <v>42678</v>
      </c>
      <c r="C723" s="497">
        <v>500</v>
      </c>
      <c r="D723" s="498">
        <v>13.69</v>
      </c>
      <c r="E723" s="499">
        <v>0</v>
      </c>
      <c r="F723" s="499">
        <f t="shared" si="207"/>
        <v>6845</v>
      </c>
      <c r="G723" s="496">
        <v>42767</v>
      </c>
      <c r="H723" s="513">
        <v>612</v>
      </c>
      <c r="I723" s="498">
        <v>17.03</v>
      </c>
      <c r="J723" s="499">
        <v>0.23</v>
      </c>
      <c r="K723" s="499">
        <f t="shared" si="205"/>
        <v>10422.130000000001</v>
      </c>
      <c r="L723" s="497"/>
      <c r="M723" s="499"/>
    </row>
    <row r="724" spans="1:13" x14ac:dyDescent="0.25">
      <c r="A724" s="497"/>
      <c r="B724" s="545">
        <v>42678</v>
      </c>
      <c r="C724" s="497">
        <v>500</v>
      </c>
      <c r="D724" s="498">
        <v>13.69</v>
      </c>
      <c r="E724" s="499">
        <v>0</v>
      </c>
      <c r="F724" s="499">
        <f>C724*D724+E724</f>
        <v>6845</v>
      </c>
      <c r="G724" s="496">
        <v>42767</v>
      </c>
      <c r="H724" s="513">
        <v>288</v>
      </c>
      <c r="I724" s="498">
        <v>17.12</v>
      </c>
      <c r="J724" s="499">
        <v>0.11</v>
      </c>
      <c r="K724" s="499">
        <f t="shared" si="205"/>
        <v>4930.4500000000007</v>
      </c>
      <c r="L724" s="497"/>
      <c r="M724" s="499"/>
    </row>
    <row r="725" spans="1:13" x14ac:dyDescent="0.25">
      <c r="A725" s="497"/>
      <c r="B725" s="545">
        <v>42691</v>
      </c>
      <c r="C725" s="497">
        <v>150</v>
      </c>
      <c r="D725" s="498">
        <v>15.48</v>
      </c>
      <c r="E725" s="499">
        <v>0</v>
      </c>
      <c r="F725" s="499">
        <f t="shared" ref="F725:F741" si="208">C725*D725+E725</f>
        <v>2322</v>
      </c>
      <c r="G725" s="496">
        <v>42767</v>
      </c>
      <c r="H725" s="513">
        <v>700</v>
      </c>
      <c r="I725" s="498">
        <v>16.57</v>
      </c>
      <c r="J725" s="499">
        <v>0.25</v>
      </c>
      <c r="K725" s="499">
        <f t="shared" si="205"/>
        <v>11598.75</v>
      </c>
      <c r="L725" s="497"/>
      <c r="M725" s="499"/>
    </row>
    <row r="726" spans="1:13" x14ac:dyDescent="0.25">
      <c r="A726" s="497"/>
      <c r="B726" s="545">
        <v>42691</v>
      </c>
      <c r="C726" s="497">
        <v>300</v>
      </c>
      <c r="D726" s="498">
        <v>15.48</v>
      </c>
      <c r="E726" s="499">
        <v>0</v>
      </c>
      <c r="F726" s="499">
        <f t="shared" si="208"/>
        <v>4644</v>
      </c>
      <c r="G726" s="496">
        <v>42768</v>
      </c>
      <c r="H726" s="513">
        <v>200</v>
      </c>
      <c r="I726" s="498">
        <v>16.7</v>
      </c>
      <c r="J726" s="499">
        <v>7.0000000000000007E-2</v>
      </c>
      <c r="K726" s="499">
        <f t="shared" si="205"/>
        <v>3339.93</v>
      </c>
      <c r="L726" s="497"/>
      <c r="M726" s="499"/>
    </row>
    <row r="727" spans="1:13" x14ac:dyDescent="0.25">
      <c r="A727" s="497"/>
      <c r="B727" s="545">
        <v>42696</v>
      </c>
      <c r="C727" s="497">
        <v>1000</v>
      </c>
      <c r="D727" s="498">
        <v>16.12</v>
      </c>
      <c r="E727" s="499">
        <v>0</v>
      </c>
      <c r="F727" s="499">
        <f t="shared" si="208"/>
        <v>16120.000000000002</v>
      </c>
      <c r="G727" s="496">
        <v>42768</v>
      </c>
      <c r="H727" s="513">
        <v>500</v>
      </c>
      <c r="I727" s="498">
        <v>16.600000000000001</v>
      </c>
      <c r="J727" s="499">
        <v>-1.82</v>
      </c>
      <c r="K727" s="499">
        <f t="shared" si="205"/>
        <v>8301.82</v>
      </c>
      <c r="L727" s="497"/>
      <c r="M727" s="499"/>
    </row>
    <row r="728" spans="1:13" x14ac:dyDescent="0.25">
      <c r="A728" s="497"/>
      <c r="B728" s="545">
        <v>42699</v>
      </c>
      <c r="C728" s="497">
        <v>200</v>
      </c>
      <c r="D728" s="498">
        <v>16.28</v>
      </c>
      <c r="E728" s="499">
        <v>0</v>
      </c>
      <c r="F728" s="499">
        <f t="shared" si="208"/>
        <v>3256</v>
      </c>
      <c r="G728" s="496">
        <v>42768</v>
      </c>
      <c r="H728" s="513">
        <v>500</v>
      </c>
      <c r="I728" s="498">
        <v>16.75</v>
      </c>
      <c r="J728" s="499">
        <v>0.18</v>
      </c>
      <c r="K728" s="499">
        <f t="shared" si="205"/>
        <v>8374.82</v>
      </c>
      <c r="L728" s="497"/>
      <c r="M728" s="499"/>
    </row>
    <row r="729" spans="1:13" x14ac:dyDescent="0.25">
      <c r="A729" s="600"/>
      <c r="B729" s="545">
        <v>42699</v>
      </c>
      <c r="C729" s="497">
        <v>500</v>
      </c>
      <c r="D729" s="498">
        <v>16.16</v>
      </c>
      <c r="E729" s="499">
        <v>0</v>
      </c>
      <c r="F729" s="499">
        <f t="shared" si="208"/>
        <v>8080</v>
      </c>
      <c r="G729" s="496">
        <v>42769</v>
      </c>
      <c r="H729" s="601">
        <v>400</v>
      </c>
      <c r="I729" s="602">
        <v>16.95</v>
      </c>
      <c r="J729" s="603">
        <v>0.15</v>
      </c>
      <c r="K729" s="603">
        <f t="shared" si="205"/>
        <v>6779.85</v>
      </c>
      <c r="L729" s="497"/>
      <c r="M729" s="499"/>
    </row>
    <row r="730" spans="1:13" x14ac:dyDescent="0.25">
      <c r="A730" s="600"/>
      <c r="B730" s="545">
        <v>42702</v>
      </c>
      <c r="C730" s="497">
        <v>500</v>
      </c>
      <c r="D730" s="498">
        <v>16.059999999999999</v>
      </c>
      <c r="E730" s="499">
        <v>0</v>
      </c>
      <c r="F730" s="499">
        <f t="shared" si="208"/>
        <v>8029.9999999999991</v>
      </c>
      <c r="G730" s="496">
        <v>42769</v>
      </c>
      <c r="H730" s="601">
        <v>300</v>
      </c>
      <c r="I730" s="602">
        <v>17.32</v>
      </c>
      <c r="J730" s="603">
        <v>0.11</v>
      </c>
      <c r="K730" s="603">
        <f t="shared" si="205"/>
        <v>5195.8900000000003</v>
      </c>
      <c r="L730" s="497"/>
      <c r="M730" s="499"/>
    </row>
    <row r="731" spans="1:13" x14ac:dyDescent="0.25">
      <c r="A731" s="600"/>
      <c r="B731" s="545">
        <v>42702</v>
      </c>
      <c r="C731" s="497">
        <v>200</v>
      </c>
      <c r="D731" s="498">
        <v>15.8</v>
      </c>
      <c r="E731" s="499">
        <v>0</v>
      </c>
      <c r="F731" s="499">
        <f t="shared" si="208"/>
        <v>3160</v>
      </c>
      <c r="G731" s="496">
        <v>42781</v>
      </c>
      <c r="H731" s="513">
        <v>600</v>
      </c>
      <c r="I731" s="498">
        <v>16.52</v>
      </c>
      <c r="J731" s="499">
        <v>0.22</v>
      </c>
      <c r="K731" s="499">
        <f t="shared" si="205"/>
        <v>9911.7800000000007</v>
      </c>
      <c r="L731" s="497"/>
      <c r="M731" s="499"/>
    </row>
    <row r="732" spans="1:13" x14ac:dyDescent="0.25">
      <c r="A732" s="600"/>
      <c r="B732" s="545">
        <v>42702</v>
      </c>
      <c r="C732" s="497">
        <v>300</v>
      </c>
      <c r="D732" s="498">
        <v>15.65</v>
      </c>
      <c r="E732" s="499">
        <v>0</v>
      </c>
      <c r="F732" s="499">
        <f t="shared" si="208"/>
        <v>4695</v>
      </c>
      <c r="G732" s="496">
        <v>42781</v>
      </c>
      <c r="H732" s="513">
        <v>300</v>
      </c>
      <c r="I732" s="498">
        <v>16.440000000000001</v>
      </c>
      <c r="J732" s="499">
        <v>0.11</v>
      </c>
      <c r="K732" s="499">
        <f t="shared" si="205"/>
        <v>4931.8900000000003</v>
      </c>
      <c r="L732" s="497"/>
      <c r="M732" s="499"/>
    </row>
    <row r="733" spans="1:13" x14ac:dyDescent="0.25">
      <c r="A733" s="497"/>
      <c r="B733" s="545">
        <v>42703</v>
      </c>
      <c r="C733" s="497">
        <v>300</v>
      </c>
      <c r="D733" s="498">
        <v>14.78</v>
      </c>
      <c r="E733" s="499">
        <v>0</v>
      </c>
      <c r="F733" s="499">
        <f t="shared" si="208"/>
        <v>4434</v>
      </c>
      <c r="G733" s="496">
        <v>42782</v>
      </c>
      <c r="H733" s="513">
        <v>300</v>
      </c>
      <c r="I733" s="498">
        <v>17</v>
      </c>
      <c r="J733" s="499">
        <v>0.11</v>
      </c>
      <c r="K733" s="499">
        <f t="shared" si="205"/>
        <v>5099.8900000000003</v>
      </c>
      <c r="L733" s="497"/>
      <c r="M733" s="499"/>
    </row>
    <row r="734" spans="1:13" x14ac:dyDescent="0.25">
      <c r="A734" s="497"/>
      <c r="B734" s="545">
        <v>42705</v>
      </c>
      <c r="C734" s="497">
        <v>350</v>
      </c>
      <c r="D734" s="498">
        <v>17.600000000000001</v>
      </c>
      <c r="E734" s="499">
        <v>0</v>
      </c>
      <c r="F734" s="499">
        <f t="shared" si="208"/>
        <v>6160.0000000000009</v>
      </c>
      <c r="G734" s="497"/>
      <c r="H734" s="513"/>
      <c r="I734" s="498"/>
      <c r="J734" s="499"/>
      <c r="K734" s="499"/>
      <c r="L734" s="497"/>
      <c r="M734" s="499"/>
    </row>
    <row r="735" spans="1:13" x14ac:dyDescent="0.25">
      <c r="A735" s="497"/>
      <c r="B735" s="545">
        <v>42711</v>
      </c>
      <c r="C735" s="497">
        <v>500</v>
      </c>
      <c r="D735" s="498">
        <v>18.12</v>
      </c>
      <c r="E735" s="499">
        <v>0</v>
      </c>
      <c r="F735" s="499">
        <f t="shared" si="208"/>
        <v>9060</v>
      </c>
      <c r="G735" s="497"/>
      <c r="H735" s="513"/>
      <c r="I735" s="498"/>
      <c r="J735" s="499"/>
      <c r="K735" s="499"/>
      <c r="L735" s="497"/>
      <c r="M735" s="499"/>
    </row>
    <row r="736" spans="1:13" x14ac:dyDescent="0.25">
      <c r="A736" s="497"/>
      <c r="B736" s="545">
        <v>42713</v>
      </c>
      <c r="C736" s="497">
        <v>500</v>
      </c>
      <c r="D736" s="498">
        <v>18.12</v>
      </c>
      <c r="E736" s="499">
        <v>0</v>
      </c>
      <c r="F736" s="499">
        <f t="shared" si="208"/>
        <v>9060</v>
      </c>
      <c r="G736" s="497"/>
      <c r="H736" s="513"/>
      <c r="I736" s="498"/>
      <c r="J736" s="499"/>
      <c r="K736" s="499"/>
      <c r="L736" s="497"/>
      <c r="M736" s="499"/>
    </row>
    <row r="737" spans="1:13" x14ac:dyDescent="0.25">
      <c r="A737" s="497"/>
      <c r="B737" s="545">
        <v>42718</v>
      </c>
      <c r="C737" s="497">
        <v>200</v>
      </c>
      <c r="D737" s="498">
        <v>18.73</v>
      </c>
      <c r="E737" s="499">
        <v>-1</v>
      </c>
      <c r="F737" s="499">
        <f t="shared" si="208"/>
        <v>3745</v>
      </c>
      <c r="G737" s="497"/>
      <c r="H737" s="513"/>
      <c r="I737" s="498"/>
      <c r="J737" s="499"/>
      <c r="K737" s="499"/>
      <c r="L737" s="497"/>
      <c r="M737" s="499"/>
    </row>
    <row r="738" spans="1:13" x14ac:dyDescent="0.25">
      <c r="A738" s="497"/>
      <c r="B738" s="545">
        <v>42733</v>
      </c>
      <c r="C738" s="497">
        <v>1000</v>
      </c>
      <c r="D738" s="498">
        <v>17.64</v>
      </c>
      <c r="E738" s="499">
        <v>-1.5</v>
      </c>
      <c r="F738" s="499">
        <f t="shared" si="208"/>
        <v>17638.5</v>
      </c>
      <c r="G738" s="497"/>
      <c r="H738" s="513"/>
      <c r="I738" s="498"/>
      <c r="J738" s="499"/>
      <c r="K738" s="499"/>
      <c r="L738" s="497"/>
      <c r="M738" s="499"/>
    </row>
    <row r="739" spans="1:13" x14ac:dyDescent="0.25">
      <c r="A739" s="497"/>
      <c r="B739" s="545">
        <v>42734</v>
      </c>
      <c r="C739" s="497">
        <v>1000</v>
      </c>
      <c r="D739" s="498">
        <v>17.329999999999998</v>
      </c>
      <c r="E739" s="499">
        <v>0</v>
      </c>
      <c r="F739" s="499">
        <f t="shared" si="208"/>
        <v>17330</v>
      </c>
      <c r="G739" s="497"/>
      <c r="H739" s="513"/>
      <c r="I739" s="498"/>
      <c r="J739" s="499"/>
      <c r="K739" s="499"/>
      <c r="L739" s="497"/>
      <c r="M739" s="499"/>
    </row>
    <row r="740" spans="1:13" x14ac:dyDescent="0.25">
      <c r="A740" s="497"/>
      <c r="B740" s="545">
        <v>42741</v>
      </c>
      <c r="C740" s="497">
        <v>500</v>
      </c>
      <c r="D740" s="498">
        <v>17.88</v>
      </c>
      <c r="E740" s="499">
        <v>0</v>
      </c>
      <c r="F740" s="499">
        <f t="shared" si="208"/>
        <v>8940</v>
      </c>
      <c r="G740" s="497"/>
      <c r="H740" s="513"/>
      <c r="I740" s="498"/>
      <c r="J740" s="499"/>
      <c r="K740" s="499"/>
      <c r="L740" s="497"/>
      <c r="M740" s="499"/>
    </row>
    <row r="741" spans="1:13" x14ac:dyDescent="0.25">
      <c r="A741" s="497"/>
      <c r="B741" s="545">
        <v>42748</v>
      </c>
      <c r="C741" s="497">
        <v>500</v>
      </c>
      <c r="D741" s="498">
        <v>17.260000000000002</v>
      </c>
      <c r="E741" s="499">
        <v>0</v>
      </c>
      <c r="F741" s="499">
        <f t="shared" si="208"/>
        <v>8630</v>
      </c>
      <c r="G741" s="497"/>
      <c r="H741" s="513"/>
      <c r="I741" s="498"/>
      <c r="J741" s="499"/>
      <c r="K741" s="499"/>
      <c r="L741" s="497"/>
      <c r="M741" s="499"/>
    </row>
    <row r="742" spans="1:13" x14ac:dyDescent="0.25">
      <c r="A742" s="497"/>
      <c r="B742" s="545"/>
      <c r="C742" s="497"/>
      <c r="D742" s="498"/>
      <c r="E742" s="499"/>
      <c r="F742" s="499"/>
      <c r="G742" s="497"/>
      <c r="H742" s="513"/>
      <c r="I742" s="498"/>
      <c r="J742" s="499"/>
      <c r="K742" s="499"/>
      <c r="L742" s="497"/>
      <c r="M742" s="499"/>
    </row>
    <row r="743" spans="1:13" x14ac:dyDescent="0.25">
      <c r="A743" s="497"/>
      <c r="B743" s="545"/>
      <c r="C743" s="497"/>
      <c r="D743" s="498"/>
      <c r="E743" s="499"/>
      <c r="F743" s="499"/>
      <c r="G743" s="497"/>
      <c r="H743" s="513"/>
      <c r="I743" s="498"/>
      <c r="J743" s="499"/>
      <c r="K743" s="499"/>
      <c r="L743" s="497"/>
      <c r="M743" s="499"/>
    </row>
    <row r="744" spans="1:13" x14ac:dyDescent="0.25">
      <c r="A744" s="599"/>
      <c r="B744" s="545"/>
      <c r="C744" s="497"/>
      <c r="D744" s="498"/>
      <c r="E744" s="499"/>
      <c r="F744" s="499"/>
      <c r="G744" s="497"/>
      <c r="H744" s="513"/>
      <c r="I744" s="498"/>
      <c r="J744" s="499"/>
      <c r="K744" s="499"/>
      <c r="L744" s="497"/>
      <c r="M744" s="499"/>
    </row>
    <row r="745" spans="1:13" x14ac:dyDescent="0.25">
      <c r="A745" s="599"/>
      <c r="B745" s="545"/>
      <c r="C745" s="497"/>
      <c r="D745" s="498"/>
      <c r="E745" s="499"/>
      <c r="F745" s="499"/>
      <c r="G745" s="497"/>
      <c r="H745" s="513"/>
      <c r="I745" s="498"/>
      <c r="J745" s="499"/>
      <c r="K745" s="499"/>
      <c r="L745" s="497"/>
      <c r="M745" s="499"/>
    </row>
    <row r="746" spans="1:13" x14ac:dyDescent="0.25">
      <c r="A746" s="599"/>
      <c r="B746" s="545"/>
      <c r="C746" s="497"/>
      <c r="D746" s="498"/>
      <c r="E746" s="499"/>
      <c r="F746" s="499"/>
      <c r="G746" s="497"/>
      <c r="H746" s="513"/>
      <c r="I746" s="498"/>
      <c r="J746" s="499"/>
      <c r="K746" s="499"/>
      <c r="L746" s="497"/>
      <c r="M746" s="499"/>
    </row>
    <row r="747" spans="1:13" x14ac:dyDescent="0.25">
      <c r="A747" s="599"/>
      <c r="B747" s="545"/>
      <c r="C747" s="497"/>
      <c r="D747" s="498"/>
      <c r="E747" s="499"/>
      <c r="F747" s="499"/>
      <c r="G747" s="497"/>
      <c r="H747" s="513"/>
      <c r="I747" s="498"/>
      <c r="J747" s="499"/>
      <c r="K747" s="499"/>
      <c r="L747" s="497"/>
      <c r="M747" s="499"/>
    </row>
    <row r="748" spans="1:13" x14ac:dyDescent="0.25">
      <c r="A748" s="497"/>
      <c r="B748" s="545"/>
      <c r="C748" s="497"/>
      <c r="D748" s="498"/>
      <c r="E748" s="499"/>
      <c r="F748" s="499"/>
      <c r="G748" s="497"/>
      <c r="H748" s="513"/>
      <c r="I748" s="498"/>
      <c r="J748" s="499"/>
      <c r="K748" s="499"/>
      <c r="L748" s="497"/>
      <c r="M748" s="499"/>
    </row>
    <row r="749" spans="1:13" x14ac:dyDescent="0.25">
      <c r="A749" s="497"/>
      <c r="B749" s="545"/>
      <c r="C749" s="497"/>
      <c r="D749" s="498"/>
      <c r="E749" s="499"/>
      <c r="F749" s="499"/>
      <c r="G749" s="497"/>
      <c r="H749" s="513"/>
      <c r="I749" s="498"/>
      <c r="J749" s="499"/>
      <c r="K749" s="499"/>
      <c r="L749" s="497"/>
      <c r="M749" s="499"/>
    </row>
    <row r="750" spans="1:13" x14ac:dyDescent="0.25">
      <c r="A750" s="497"/>
      <c r="B750" s="545"/>
      <c r="C750" s="497"/>
      <c r="D750" s="498"/>
      <c r="E750" s="499"/>
      <c r="F750" s="499"/>
      <c r="G750" s="497"/>
      <c r="H750" s="513"/>
      <c r="I750" s="498"/>
      <c r="J750" s="499"/>
      <c r="K750" s="499"/>
      <c r="L750" s="497"/>
      <c r="M750" s="499"/>
    </row>
    <row r="751" spans="1:13" x14ac:dyDescent="0.25">
      <c r="A751" s="497"/>
      <c r="B751" s="545"/>
      <c r="C751" s="497"/>
      <c r="D751" s="498"/>
      <c r="E751" s="499"/>
      <c r="F751" s="499"/>
      <c r="G751" s="497"/>
      <c r="H751" s="513"/>
      <c r="I751" s="498"/>
      <c r="J751" s="499"/>
      <c r="K751" s="499"/>
      <c r="L751" s="497"/>
      <c r="M751" s="499"/>
    </row>
    <row r="752" spans="1:13" x14ac:dyDescent="0.25">
      <c r="A752" s="497"/>
      <c r="B752" s="545"/>
      <c r="C752" s="497"/>
      <c r="D752" s="498"/>
      <c r="E752" s="499"/>
      <c r="F752" s="499"/>
      <c r="G752" s="497"/>
      <c r="H752" s="513"/>
      <c r="I752" s="498"/>
      <c r="J752" s="499"/>
      <c r="K752" s="499"/>
      <c r="L752" s="497"/>
      <c r="M752" s="499"/>
    </row>
    <row r="753" spans="1:13" x14ac:dyDescent="0.25">
      <c r="A753" s="497"/>
      <c r="B753" s="545"/>
      <c r="C753" s="497"/>
      <c r="D753" s="498"/>
      <c r="E753" s="499"/>
      <c r="F753" s="499"/>
      <c r="G753" s="497"/>
      <c r="H753" s="513"/>
      <c r="I753" s="498"/>
      <c r="J753" s="499"/>
      <c r="K753" s="499"/>
      <c r="L753" s="497"/>
      <c r="M753" s="499"/>
    </row>
    <row r="754" spans="1:13" x14ac:dyDescent="0.25">
      <c r="A754" s="497"/>
      <c r="B754" s="545"/>
      <c r="C754" s="497"/>
      <c r="D754" s="498"/>
      <c r="E754" s="499"/>
      <c r="F754" s="499"/>
      <c r="G754" s="497"/>
      <c r="H754" s="513"/>
      <c r="I754" s="498"/>
      <c r="J754" s="499"/>
      <c r="K754" s="499"/>
      <c r="L754" s="497"/>
      <c r="M754" s="499"/>
    </row>
    <row r="755" spans="1:13" x14ac:dyDescent="0.25">
      <c r="A755" s="497"/>
      <c r="B755" s="545"/>
      <c r="C755" s="497"/>
      <c r="D755" s="498"/>
      <c r="E755" s="499"/>
      <c r="F755" s="499"/>
      <c r="G755" s="497"/>
      <c r="H755" s="513"/>
      <c r="I755" s="498"/>
      <c r="J755" s="499"/>
      <c r="K755" s="499"/>
      <c r="L755" s="497"/>
      <c r="M755" s="499"/>
    </row>
    <row r="756" spans="1:13" x14ac:dyDescent="0.25">
      <c r="A756" s="497"/>
      <c r="B756" s="545"/>
      <c r="C756" s="497"/>
      <c r="D756" s="498"/>
      <c r="E756" s="499"/>
      <c r="F756" s="499"/>
      <c r="G756" s="497"/>
      <c r="H756" s="513"/>
      <c r="I756" s="498"/>
      <c r="J756" s="499"/>
      <c r="K756" s="499"/>
      <c r="L756" s="497"/>
      <c r="M756" s="499"/>
    </row>
    <row r="757" spans="1:13" x14ac:dyDescent="0.25">
      <c r="A757" s="497"/>
      <c r="B757" s="545"/>
      <c r="C757" s="497"/>
      <c r="D757" s="498"/>
      <c r="E757" s="499"/>
      <c r="F757" s="499"/>
      <c r="G757" s="497"/>
      <c r="H757" s="513"/>
      <c r="I757" s="498"/>
      <c r="J757" s="499"/>
      <c r="K757" s="499"/>
      <c r="L757" s="497"/>
      <c r="M757" s="499"/>
    </row>
    <row r="758" spans="1:13" x14ac:dyDescent="0.25">
      <c r="A758" s="497"/>
      <c r="B758" s="545"/>
      <c r="C758" s="497"/>
      <c r="D758" s="498"/>
      <c r="E758" s="499"/>
      <c r="F758" s="499"/>
      <c r="G758" s="497"/>
      <c r="H758" s="513"/>
      <c r="I758" s="498"/>
      <c r="J758" s="499"/>
      <c r="K758" s="499"/>
      <c r="L758" s="497"/>
      <c r="M758" s="499"/>
    </row>
    <row r="759" spans="1:13" x14ac:dyDescent="0.25">
      <c r="A759" s="497"/>
      <c r="B759" s="545"/>
      <c r="C759" s="497"/>
      <c r="D759" s="498"/>
      <c r="E759" s="499"/>
      <c r="F759" s="499"/>
      <c r="G759" s="497"/>
      <c r="H759" s="513"/>
      <c r="I759" s="498"/>
      <c r="J759" s="499"/>
      <c r="K759" s="499"/>
      <c r="L759" s="497"/>
      <c r="M759" s="499"/>
    </row>
    <row r="760" spans="1:13" x14ac:dyDescent="0.25">
      <c r="A760" s="497"/>
      <c r="B760" s="545"/>
      <c r="C760" s="497"/>
      <c r="D760" s="498"/>
      <c r="E760" s="499"/>
      <c r="F760" s="499"/>
      <c r="G760" s="497"/>
      <c r="H760" s="513"/>
      <c r="I760" s="498"/>
      <c r="J760" s="499"/>
      <c r="K760" s="499"/>
      <c r="L760" s="497"/>
      <c r="M760" s="499"/>
    </row>
    <row r="761" spans="1:13" x14ac:dyDescent="0.25">
      <c r="A761" s="497"/>
      <c r="B761" s="545"/>
      <c r="C761" s="497"/>
      <c r="D761" s="498"/>
      <c r="E761" s="499"/>
      <c r="F761" s="499"/>
      <c r="G761" s="497"/>
      <c r="H761" s="513"/>
      <c r="I761" s="498"/>
      <c r="J761" s="499"/>
      <c r="K761" s="499"/>
      <c r="L761" s="497"/>
      <c r="M761" s="499"/>
    </row>
    <row r="762" spans="1:13" x14ac:dyDescent="0.25">
      <c r="A762" s="497"/>
      <c r="B762" s="545"/>
      <c r="C762" s="497"/>
      <c r="D762" s="498"/>
      <c r="E762" s="499"/>
      <c r="F762" s="499"/>
      <c r="G762" s="497"/>
      <c r="H762" s="513"/>
      <c r="I762" s="498"/>
      <c r="J762" s="499"/>
      <c r="K762" s="499"/>
      <c r="L762" s="497"/>
      <c r="M762" s="499"/>
    </row>
    <row r="763" spans="1:13" x14ac:dyDescent="0.25">
      <c r="A763" s="497"/>
      <c r="B763" s="545"/>
      <c r="C763" s="497"/>
      <c r="D763" s="498"/>
      <c r="E763" s="499"/>
      <c r="F763" s="499"/>
      <c r="G763" s="497"/>
      <c r="H763" s="513"/>
      <c r="I763" s="498"/>
      <c r="J763" s="499"/>
      <c r="K763" s="499"/>
      <c r="L763" s="497"/>
      <c r="M763" s="499"/>
    </row>
    <row r="764" spans="1:13" x14ac:dyDescent="0.25">
      <c r="A764" s="497"/>
      <c r="B764" s="545"/>
      <c r="C764" s="497"/>
      <c r="D764" s="498"/>
      <c r="E764" s="499"/>
      <c r="F764" s="499"/>
      <c r="G764" s="497"/>
      <c r="H764" s="513"/>
      <c r="I764" s="498"/>
      <c r="J764" s="499"/>
      <c r="K764" s="499"/>
      <c r="L764" s="497"/>
      <c r="M764" s="499"/>
    </row>
    <row r="765" spans="1:13" x14ac:dyDescent="0.25">
      <c r="A765" s="515" t="s">
        <v>81</v>
      </c>
      <c r="B765" s="604"/>
      <c r="C765" s="538">
        <f>SUM(C504:C764)</f>
        <v>133812</v>
      </c>
      <c r="D765" s="517"/>
      <c r="E765" s="517"/>
      <c r="F765" s="517">
        <f>SUM(F504:F764)</f>
        <v>1899450.8389999999</v>
      </c>
      <c r="G765" s="516"/>
      <c r="H765" s="538">
        <f>SUM(H504:H764)</f>
        <v>133812</v>
      </c>
      <c r="I765" s="605"/>
      <c r="J765" s="517"/>
      <c r="K765" s="517">
        <f>SUM(K504:K764)</f>
        <v>1911314.2100000016</v>
      </c>
      <c r="L765" s="516"/>
      <c r="M765" s="517">
        <f>SUM(M504:M514)</f>
        <v>2752.2000000000003</v>
      </c>
    </row>
    <row r="766" spans="1:13" ht="15.75" thickBot="1" x14ac:dyDescent="0.3">
      <c r="A766" s="518" t="s">
        <v>193</v>
      </c>
      <c r="B766" s="606"/>
      <c r="C766" s="520">
        <f>SumByColor($A$91, C504:C764)</f>
        <v>0</v>
      </c>
      <c r="D766" s="520"/>
      <c r="E766" s="520"/>
      <c r="F766" s="521">
        <f>SumByColor($A$91, F504:F764)</f>
        <v>0</v>
      </c>
      <c r="G766" s="520"/>
      <c r="H766" s="520">
        <f>SumByColor($A$91, H504:H764)</f>
        <v>0</v>
      </c>
      <c r="I766" s="520"/>
      <c r="J766" s="521"/>
      <c r="K766" s="521">
        <f>SumByColor($A$91, K504:K764)</f>
        <v>0</v>
      </c>
      <c r="L766" s="520"/>
      <c r="M766" s="521">
        <f>SumByColor($A$91, M504:M764)</f>
        <v>0</v>
      </c>
    </row>
    <row r="767" spans="1:13" x14ac:dyDescent="0.25">
      <c r="A767" s="497"/>
      <c r="B767" s="545"/>
      <c r="C767" s="497"/>
      <c r="D767" s="498"/>
      <c r="E767" s="499"/>
      <c r="F767" s="499"/>
      <c r="G767" s="497"/>
      <c r="H767" s="513"/>
      <c r="I767" s="498"/>
      <c r="J767" s="499"/>
      <c r="K767" s="499"/>
      <c r="L767" s="497"/>
      <c r="M767" s="499"/>
    </row>
  </sheetData>
  <mergeCells count="2">
    <mergeCell ref="O23:P23"/>
    <mergeCell ref="A80:A82"/>
  </mergeCells>
  <conditionalFormatting sqref="F250:F268 H250:H268 H403 F403 H474:H498 F474:F498 K103:K201 F113:F202 H113:H202 K210 K239:K240 H239:H240 F239:F240">
    <cfRule type="expression" dxfId="2102" priority="145">
      <formula>F103&gt;0</formula>
    </cfRule>
    <cfRule type="expression" dxfId="2101" priority="146">
      <formula>F103&lt;0</formula>
    </cfRule>
  </conditionalFormatting>
  <conditionalFormatting sqref="O24:O61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4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40">
      <iconSet iconSet="3Arrows">
        <cfvo type="percent" val="0"/>
        <cfvo type="num" val="0"/>
        <cfvo type="num" val="0"/>
      </iconSet>
    </cfRule>
  </conditionalFormatting>
  <conditionalFormatting sqref="F243:F249">
    <cfRule type="expression" dxfId="2100" priority="138">
      <formula>F243&gt;0</formula>
    </cfRule>
    <cfRule type="expression" dxfId="2099" priority="139">
      <formula>F243&lt;0</formula>
    </cfRule>
  </conditionalFormatting>
  <conditionalFormatting sqref="H243:H249">
    <cfRule type="expression" dxfId="2098" priority="134">
      <formula>H243&gt;0</formula>
    </cfRule>
    <cfRule type="expression" dxfId="2097" priority="135">
      <formula>H243&lt;0</formula>
    </cfRule>
  </conditionalFormatting>
  <conditionalFormatting sqref="Q8">
    <cfRule type="expression" dxfId="2096" priority="120">
      <formula>Q8&gt;0</formula>
    </cfRule>
    <cfRule type="expression" dxfId="2095" priority="121">
      <formula>Q8&lt;0</formula>
    </cfRule>
  </conditionalFormatting>
  <conditionalFormatting sqref="Q7">
    <cfRule type="expression" dxfId="2094" priority="122">
      <formula>Q7&gt;0</formula>
    </cfRule>
    <cfRule type="expression" dxfId="2093" priority="123">
      <formula>Q7&lt;0</formula>
    </cfRule>
  </conditionalFormatting>
  <conditionalFormatting sqref="F351:F357">
    <cfRule type="expression" dxfId="2092" priority="94">
      <formula>F351&gt;0</formula>
    </cfRule>
    <cfRule type="expression" dxfId="2091" priority="95">
      <formula>F351&lt;0</formula>
    </cfRule>
  </conditionalFormatting>
  <conditionalFormatting sqref="F276:F294 H276:H294">
    <cfRule type="expression" dxfId="2090" priority="116">
      <formula>F276&gt;0</formula>
    </cfRule>
    <cfRule type="expression" dxfId="2089" priority="117">
      <formula>F276&lt;0</formula>
    </cfRule>
  </conditionalFormatting>
  <conditionalFormatting sqref="F269:F275">
    <cfRule type="expression" dxfId="2088" priority="114">
      <formula>F269&gt;0</formula>
    </cfRule>
    <cfRule type="expression" dxfId="2087" priority="115">
      <formula>F269&lt;0</formula>
    </cfRule>
  </conditionalFormatting>
  <conditionalFormatting sqref="H269:H275">
    <cfRule type="expression" dxfId="2086" priority="112">
      <formula>H269&gt;0</formula>
    </cfRule>
    <cfRule type="expression" dxfId="2085" priority="113">
      <formula>H269&lt;0</formula>
    </cfRule>
  </conditionalFormatting>
  <conditionalFormatting sqref="F302:F320 H302:H320">
    <cfRule type="expression" dxfId="2084" priority="110">
      <formula>F302&gt;0</formula>
    </cfRule>
    <cfRule type="expression" dxfId="2083" priority="111">
      <formula>F302&lt;0</formula>
    </cfRule>
  </conditionalFormatting>
  <conditionalFormatting sqref="F295:F301">
    <cfRule type="expression" dxfId="2082" priority="108">
      <formula>F295&gt;0</formula>
    </cfRule>
    <cfRule type="expression" dxfId="2081" priority="109">
      <formula>F295&lt;0</formula>
    </cfRule>
  </conditionalFormatting>
  <conditionalFormatting sqref="H295:H301">
    <cfRule type="expression" dxfId="2080" priority="106">
      <formula>H295&gt;0</formula>
    </cfRule>
    <cfRule type="expression" dxfId="2079" priority="107">
      <formula>H295&lt;0</formula>
    </cfRule>
  </conditionalFormatting>
  <conditionalFormatting sqref="F328:F345 H328:H345">
    <cfRule type="expression" dxfId="2078" priority="104">
      <formula>F328&gt;0</formula>
    </cfRule>
    <cfRule type="expression" dxfId="2077" priority="105">
      <formula>F328&lt;0</formula>
    </cfRule>
  </conditionalFormatting>
  <conditionalFormatting sqref="F321:F327">
    <cfRule type="expression" dxfId="2076" priority="102">
      <formula>F321&gt;0</formula>
    </cfRule>
    <cfRule type="expression" dxfId="2075" priority="103">
      <formula>F321&lt;0</formula>
    </cfRule>
  </conditionalFormatting>
  <conditionalFormatting sqref="H321:H327">
    <cfRule type="expression" dxfId="2074" priority="100">
      <formula>H321&gt;0</formula>
    </cfRule>
    <cfRule type="expression" dxfId="2073" priority="101">
      <formula>H321&lt;0</formula>
    </cfRule>
  </conditionalFormatting>
  <conditionalFormatting sqref="F346:F350 H346:H350">
    <cfRule type="expression" dxfId="2072" priority="98">
      <formula>F346&gt;0</formula>
    </cfRule>
    <cfRule type="expression" dxfId="2071" priority="99">
      <formula>F346&lt;0</formula>
    </cfRule>
  </conditionalFormatting>
  <conditionalFormatting sqref="F358:F373 H358:H373">
    <cfRule type="expression" dxfId="2070" priority="96">
      <formula>F358&gt;0</formula>
    </cfRule>
    <cfRule type="expression" dxfId="2069" priority="97">
      <formula>F358&lt;0</formula>
    </cfRule>
  </conditionalFormatting>
  <conditionalFormatting sqref="H351:H357">
    <cfRule type="expression" dxfId="2068" priority="92">
      <formula>H351&gt;0</formula>
    </cfRule>
    <cfRule type="expression" dxfId="2067" priority="93">
      <formula>H351&lt;0</formula>
    </cfRule>
  </conditionalFormatting>
  <conditionalFormatting sqref="F374 H374">
    <cfRule type="expression" dxfId="2066" priority="90">
      <formula>F374&gt;0</formula>
    </cfRule>
    <cfRule type="expression" dxfId="2065" priority="91">
      <formula>F374&lt;0</formula>
    </cfRule>
  </conditionalFormatting>
  <conditionalFormatting sqref="F375:F379 H375:H379">
    <cfRule type="expression" dxfId="2064" priority="88">
      <formula>F375&gt;0</formula>
    </cfRule>
    <cfRule type="expression" dxfId="2063" priority="89">
      <formula>F375&lt;0</formula>
    </cfRule>
  </conditionalFormatting>
  <conditionalFormatting sqref="F387:F402 H387:H402">
    <cfRule type="expression" dxfId="2062" priority="86">
      <formula>F387&gt;0</formula>
    </cfRule>
    <cfRule type="expression" dxfId="2061" priority="87">
      <formula>F387&lt;0</formula>
    </cfRule>
  </conditionalFormatting>
  <conditionalFormatting sqref="F380:F386">
    <cfRule type="expression" dxfId="2060" priority="84">
      <formula>F380&gt;0</formula>
    </cfRule>
    <cfRule type="expression" dxfId="2059" priority="85">
      <formula>F380&lt;0</formula>
    </cfRule>
  </conditionalFormatting>
  <conditionalFormatting sqref="H380:H386">
    <cfRule type="expression" dxfId="2058" priority="82">
      <formula>H380&gt;0</formula>
    </cfRule>
    <cfRule type="expression" dxfId="2057" priority="83">
      <formula>H380&lt;0</formula>
    </cfRule>
  </conditionalFormatting>
  <conditionalFormatting sqref="F404:F409 H404:H409">
    <cfRule type="expression" dxfId="2056" priority="80">
      <formula>F404&gt;0</formula>
    </cfRule>
    <cfRule type="expression" dxfId="2055" priority="81">
      <formula>F404&lt;0</formula>
    </cfRule>
  </conditionalFormatting>
  <conditionalFormatting sqref="F410 H410">
    <cfRule type="expression" dxfId="2054" priority="78">
      <formula>F410&gt;0</formula>
    </cfRule>
    <cfRule type="expression" dxfId="2053" priority="79">
      <formula>F410&lt;0</formula>
    </cfRule>
  </conditionalFormatting>
  <conditionalFormatting sqref="F411:F415 H411:H415">
    <cfRule type="expression" dxfId="2052" priority="76">
      <formula>F411&gt;0</formula>
    </cfRule>
    <cfRule type="expression" dxfId="2051" priority="77">
      <formula>F411&lt;0</formula>
    </cfRule>
  </conditionalFormatting>
  <conditionalFormatting sqref="F423:F438 H423:H438">
    <cfRule type="expression" dxfId="2050" priority="74">
      <formula>F423&gt;0</formula>
    </cfRule>
    <cfRule type="expression" dxfId="2049" priority="75">
      <formula>F423&lt;0</formula>
    </cfRule>
  </conditionalFormatting>
  <conditionalFormatting sqref="F416:F422">
    <cfRule type="expression" dxfId="2048" priority="72">
      <formula>F416&gt;0</formula>
    </cfRule>
    <cfRule type="expression" dxfId="2047" priority="73">
      <formula>F416&lt;0</formula>
    </cfRule>
  </conditionalFormatting>
  <conditionalFormatting sqref="H416:H422">
    <cfRule type="expression" dxfId="2046" priority="70">
      <formula>H416&gt;0</formula>
    </cfRule>
    <cfRule type="expression" dxfId="2045" priority="71">
      <formula>H416&lt;0</formula>
    </cfRule>
  </conditionalFormatting>
  <conditionalFormatting sqref="F439:F444 H439:H444">
    <cfRule type="expression" dxfId="2044" priority="68">
      <formula>F439&gt;0</formula>
    </cfRule>
    <cfRule type="expression" dxfId="2043" priority="69">
      <formula>F439&lt;0</formula>
    </cfRule>
  </conditionalFormatting>
  <conditionalFormatting sqref="F445 H445">
    <cfRule type="expression" dxfId="2042" priority="66">
      <formula>F445&gt;0</formula>
    </cfRule>
    <cfRule type="expression" dxfId="2041" priority="67">
      <formula>F445&lt;0</formula>
    </cfRule>
  </conditionalFormatting>
  <conditionalFormatting sqref="F446:F450 H446:H450">
    <cfRule type="expression" dxfId="2040" priority="64">
      <formula>F446&gt;0</formula>
    </cfRule>
    <cfRule type="expression" dxfId="2039" priority="65">
      <formula>F446&lt;0</formula>
    </cfRule>
  </conditionalFormatting>
  <conditionalFormatting sqref="F458:F473 H458:H473">
    <cfRule type="expression" dxfId="2038" priority="62">
      <formula>F458&gt;0</formula>
    </cfRule>
    <cfRule type="expression" dxfId="2037" priority="63">
      <formula>F458&lt;0</formula>
    </cfRule>
  </conditionalFormatting>
  <conditionalFormatting sqref="F451:F457">
    <cfRule type="expression" dxfId="2036" priority="60">
      <formula>F451&gt;0</formula>
    </cfRule>
    <cfRule type="expression" dxfId="2035" priority="61">
      <formula>F451&lt;0</formula>
    </cfRule>
  </conditionalFormatting>
  <conditionalFormatting sqref="H451:H457">
    <cfRule type="expression" dxfId="2034" priority="58">
      <formula>H451&gt;0</formula>
    </cfRule>
    <cfRule type="expression" dxfId="2033" priority="59">
      <formula>H451&lt;0</formula>
    </cfRule>
  </conditionalFormatting>
  <conditionalFormatting sqref="M502">
    <cfRule type="expression" dxfId="2032" priority="56">
      <formula>M502&gt;0</formula>
    </cfRule>
    <cfRule type="expression" dxfId="2031" priority="57">
      <formula>M502&lt;0</formula>
    </cfRule>
  </conditionalFormatting>
  <conditionalFormatting sqref="F101:F112">
    <cfRule type="expression" dxfId="2030" priority="52">
      <formula>F101&gt;0</formula>
    </cfRule>
    <cfRule type="expression" dxfId="2029" priority="53">
      <formula>F101&lt;0</formula>
    </cfRule>
  </conditionalFormatting>
  <conditionalFormatting sqref="H101:H112">
    <cfRule type="expression" dxfId="2028" priority="50">
      <formula>H101&gt;0</formula>
    </cfRule>
    <cfRule type="expression" dxfId="2027" priority="51">
      <formula>H101&lt;0</formula>
    </cfRule>
  </conditionalFormatting>
  <conditionalFormatting sqref="F95:F100 H95:H100">
    <cfRule type="expression" dxfId="2026" priority="48">
      <formula>F95&gt;0</formula>
    </cfRule>
    <cfRule type="expression" dxfId="2025" priority="49">
      <formula>F95&lt;0</formula>
    </cfRule>
  </conditionalFormatting>
  <conditionalFormatting sqref="J97:K97">
    <cfRule type="expression" dxfId="2024" priority="46">
      <formula>J97&gt;0</formula>
    </cfRule>
    <cfRule type="expression" dxfId="2023" priority="47">
      <formula>J97&lt;0</formula>
    </cfRule>
  </conditionalFormatting>
  <conditionalFormatting sqref="J98:K104">
    <cfRule type="expression" dxfId="2022" priority="44">
      <formula>J98&gt;0</formula>
    </cfRule>
    <cfRule type="expression" dxfId="2021" priority="45">
      <formula>J98&lt;0</formula>
    </cfRule>
  </conditionalFormatting>
  <conditionalFormatting sqref="L97:L179 L186 L188">
    <cfRule type="expression" dxfId="2020" priority="40">
      <formula>L97&gt;0</formula>
    </cfRule>
    <cfRule type="expression" dxfId="2019" priority="41">
      <formula>L97&lt;0</formula>
    </cfRule>
  </conditionalFormatting>
  <conditionalFormatting sqref="Q10">
    <cfRule type="expression" dxfId="2018" priority="38">
      <formula>Q10&gt;0</formula>
    </cfRule>
    <cfRule type="expression" dxfId="2017" priority="39">
      <formula>Q10&lt;0</formula>
    </cfRule>
  </conditionalFormatting>
  <conditionalFormatting sqref="K208:K209 H208:H210 F208:F210">
    <cfRule type="expression" dxfId="2016" priority="35">
      <formula>F208&gt;0</formula>
    </cfRule>
    <cfRule type="expression" dxfId="2015" priority="36">
      <formula>F208&lt;0</formula>
    </cfRule>
  </conditionalFormatting>
  <conditionalFormatting sqref="K204:K206 H204:H206 F204:F206">
    <cfRule type="expression" dxfId="2014" priority="33">
      <formula>F204&gt;0</formula>
    </cfRule>
    <cfRule type="expression" dxfId="2013" priority="34">
      <formula>F204&lt;0</formula>
    </cfRule>
  </conditionalFormatting>
  <conditionalFormatting sqref="K202:K203 H203 F203">
    <cfRule type="expression" dxfId="2012" priority="31">
      <formula>F202&gt;0</formula>
    </cfRule>
    <cfRule type="expression" dxfId="2011" priority="32">
      <formula>F202&lt;0</formula>
    </cfRule>
  </conditionalFormatting>
  <conditionalFormatting sqref="K207 H207 F207">
    <cfRule type="expression" dxfId="2010" priority="29">
      <formula>F207&gt;0</formula>
    </cfRule>
    <cfRule type="expression" dxfId="2009" priority="30">
      <formula>F207&lt;0</formula>
    </cfRule>
  </conditionalFormatting>
  <conditionalFormatting sqref="K215:K216">
    <cfRule type="expression" dxfId="2008" priority="27">
      <formula>K215&gt;0</formula>
    </cfRule>
    <cfRule type="expression" dxfId="2007" priority="28">
      <formula>K215&lt;0</formula>
    </cfRule>
  </conditionalFormatting>
  <conditionalFormatting sqref="K213:K214 H213:H216 F213:F216">
    <cfRule type="expression" dxfId="2006" priority="25">
      <formula>F213&gt;0</formula>
    </cfRule>
    <cfRule type="expression" dxfId="2005" priority="26">
      <formula>F213&lt;0</formula>
    </cfRule>
  </conditionalFormatting>
  <conditionalFormatting sqref="H211:H212 F211:F212 K211:K212">
    <cfRule type="expression" dxfId="2004" priority="23">
      <formula>F211&gt;0</formula>
    </cfRule>
    <cfRule type="expression" dxfId="2003" priority="24">
      <formula>F211&lt;0</formula>
    </cfRule>
  </conditionalFormatting>
  <conditionalFormatting sqref="K237:K238 H238 F238">
    <cfRule type="expression" dxfId="2002" priority="21">
      <formula>F237&gt;0</formula>
    </cfRule>
    <cfRule type="expression" dxfId="2001" priority="22">
      <formula>F237&lt;0</formula>
    </cfRule>
  </conditionalFormatting>
  <conditionalFormatting sqref="K219:K220 H219:H221 F219:F221">
    <cfRule type="expression" dxfId="2000" priority="19">
      <formula>F219&gt;0</formula>
    </cfRule>
    <cfRule type="expression" dxfId="1999" priority="20">
      <formula>F219&lt;0</formula>
    </cfRule>
  </conditionalFormatting>
  <conditionalFormatting sqref="K217:K218 H217:H218 F217:F218">
    <cfRule type="expression" dxfId="1998" priority="17">
      <formula>F217&gt;0</formula>
    </cfRule>
    <cfRule type="expression" dxfId="1997" priority="18">
      <formula>F217&lt;0</formula>
    </cfRule>
  </conditionalFormatting>
  <conditionalFormatting sqref="K231:K232 H231:H233 F231:F233">
    <cfRule type="expression" dxfId="1996" priority="15">
      <formula>F231&gt;0</formula>
    </cfRule>
    <cfRule type="expression" dxfId="1995" priority="16">
      <formula>F231&lt;0</formula>
    </cfRule>
  </conditionalFormatting>
  <conditionalFormatting sqref="K229:K230 H230 F230">
    <cfRule type="expression" dxfId="1994" priority="13">
      <formula>F229&gt;0</formula>
    </cfRule>
    <cfRule type="expression" dxfId="1993" priority="14">
      <formula>F229&lt;0</formula>
    </cfRule>
  </conditionalFormatting>
  <conditionalFormatting sqref="K227:K228 H227:H229 F227:F229">
    <cfRule type="expression" dxfId="1992" priority="11">
      <formula>F227&gt;0</formula>
    </cfRule>
    <cfRule type="expression" dxfId="1991" priority="12">
      <formula>F227&lt;0</formula>
    </cfRule>
  </conditionalFormatting>
  <conditionalFormatting sqref="K225:K226 H226 F226">
    <cfRule type="expression" dxfId="1990" priority="9">
      <formula>F225&gt;0</formula>
    </cfRule>
    <cfRule type="expression" dxfId="1989" priority="10">
      <formula>F225&lt;0</formula>
    </cfRule>
  </conditionalFormatting>
  <conditionalFormatting sqref="K223:K224 H223:H225 F223:F225">
    <cfRule type="expression" dxfId="1988" priority="7">
      <formula>F223&gt;0</formula>
    </cfRule>
    <cfRule type="expression" dxfId="1987" priority="8">
      <formula>F223&lt;0</formula>
    </cfRule>
  </conditionalFormatting>
  <conditionalFormatting sqref="K221:K222 H222 F222">
    <cfRule type="expression" dxfId="1986" priority="5">
      <formula>F221&gt;0</formula>
    </cfRule>
    <cfRule type="expression" dxfId="1985" priority="6">
      <formula>F221&lt;0</formula>
    </cfRule>
  </conditionalFormatting>
  <conditionalFormatting sqref="K235:K236 H235:H237 F235:F237">
    <cfRule type="expression" dxfId="1984" priority="3">
      <formula>F235&gt;0</formula>
    </cfRule>
    <cfRule type="expression" dxfId="1983" priority="4">
      <formula>F235&lt;0</formula>
    </cfRule>
  </conditionalFormatting>
  <conditionalFormatting sqref="K233:K234 H234 F234">
    <cfRule type="expression" dxfId="1982" priority="1">
      <formula>F233&gt;0</formula>
    </cfRule>
    <cfRule type="expression" dxfId="1981" priority="2">
      <formula>F233&lt;0</formula>
    </cfRule>
  </conditionalFormatting>
  <hyperlinks>
    <hyperlink ref="A3" location="ACTIVE!A1" display="Back"/>
    <hyperlink ref="A50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1104</v>
      </c>
      <c r="Z1" s="11" t="s">
        <v>1102</v>
      </c>
      <c r="AA1" s="11" t="s">
        <v>1103</v>
      </c>
      <c r="AB1" s="11" t="s">
        <v>1105</v>
      </c>
      <c r="AC1" s="11" t="s">
        <v>1102</v>
      </c>
      <c r="AD1" s="11" t="s">
        <v>1103</v>
      </c>
      <c r="AE1" s="11" t="s">
        <v>1106</v>
      </c>
      <c r="AF1" s="11" t="s">
        <v>1102</v>
      </c>
      <c r="AG1" s="11" t="s">
        <v>1103</v>
      </c>
      <c r="AH1" s="11" t="s">
        <v>1107</v>
      </c>
      <c r="AI1" s="11" t="s">
        <v>1102</v>
      </c>
      <c r="AJ1" s="11" t="s">
        <v>1103</v>
      </c>
      <c r="AK1" s="11" t="s">
        <v>1108</v>
      </c>
      <c r="AM1" s="11" t="s">
        <v>1109</v>
      </c>
      <c r="AO1" s="11" t="s">
        <v>1110</v>
      </c>
    </row>
    <row r="2" spans="1:41" x14ac:dyDescent="0.25">
      <c r="A2" s="6" t="s">
        <v>781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7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300</v>
      </c>
      <c r="T2" s="1">
        <v>43103</v>
      </c>
      <c r="U2" t="s">
        <v>842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195</v>
      </c>
      <c r="AJ2">
        <f>$Q$2*$Q$4</f>
        <v>4184.97</v>
      </c>
      <c r="AK2">
        <f ca="1">AJ2*EXP(-$X$2 * AI2/365.25)</f>
        <v>4184.97</v>
      </c>
      <c r="AM2" s="2">
        <f>Q10</f>
        <v>0</v>
      </c>
      <c r="AO2">
        <f ca="1" xml:space="preserve"> (SUM(AB:AB) - SUM(AE:AE) - SUM(AH:AH) - SUM(AK:AK))/SUM(AB:AB)</f>
        <v>4.5153455961469496E-2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/>
      <c r="M3" s="3"/>
      <c r="O3" s="11" t="s">
        <v>58</v>
      </c>
      <c r="Q3" s="221">
        <f>IF(Q2=0, Q4, (F18-K18-M18)/Q2)</f>
        <v>15.418666666666669</v>
      </c>
      <c r="T3" s="1"/>
      <c r="U3" t="s">
        <v>843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-43095</v>
      </c>
      <c r="AG3" s="2">
        <f t="shared" ref="AG3:AG17" si="8">M3</f>
        <v>0</v>
      </c>
      <c r="AH3">
        <f t="shared" ref="AH3:AH17" si="9">AG3*EXP(-AF3/365.25 * $X$2)</f>
        <v>0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>H4*I4-J4</f>
        <v>1379.98</v>
      </c>
      <c r="L4" s="4"/>
      <c r="M4" s="4"/>
      <c r="O4" s="11" t="s">
        <v>66</v>
      </c>
      <c r="Q4" s="54">
        <v>13.9499</v>
      </c>
      <c r="R4" s="495">
        <v>6.4999999999999997E-3</v>
      </c>
      <c r="T4" s="156"/>
      <c r="U4" s="1" t="s">
        <v>889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192</v>
      </c>
      <c r="AD4" s="2">
        <f t="shared" si="5"/>
        <v>1379.98</v>
      </c>
      <c r="AE4">
        <f t="shared" si="6"/>
        <v>1379.98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72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4184.97</v>
      </c>
      <c r="T5" s="1">
        <v>43112</v>
      </c>
      <c r="U5" t="s">
        <v>887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-43095</v>
      </c>
      <c r="AD5" s="2">
        <f t="shared" si="5"/>
        <v>0</v>
      </c>
      <c r="AE5">
        <f t="shared" si="6"/>
        <v>0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72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4625.6000000000004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-43095</v>
      </c>
      <c r="AD6" s="2">
        <f t="shared" si="5"/>
        <v>0</v>
      </c>
      <c r="AE6">
        <f t="shared" si="6"/>
        <v>0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47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-440.63000000000011</v>
      </c>
      <c r="R7">
        <v>200</v>
      </c>
      <c r="T7" s="1">
        <v>43117</v>
      </c>
      <c r="U7" t="s">
        <v>894</v>
      </c>
      <c r="W7" s="134"/>
      <c r="Z7">
        <f t="shared" si="1"/>
        <v>171</v>
      </c>
      <c r="AA7" s="2">
        <f t="shared" si="2"/>
        <v>1334</v>
      </c>
      <c r="AB7">
        <f t="shared" si="3"/>
        <v>1334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-440.63000000000011</v>
      </c>
      <c r="U8" t="s">
        <v>895</v>
      </c>
      <c r="W8" s="134"/>
      <c r="Z8">
        <f t="shared" si="1"/>
        <v>-43095</v>
      </c>
      <c r="AA8" s="2">
        <f t="shared" si="2"/>
        <v>0</v>
      </c>
      <c r="AB8">
        <f t="shared" si="3"/>
        <v>0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-9.5258993427879649E-2</v>
      </c>
      <c r="W9" s="134"/>
      <c r="Z9">
        <f t="shared" si="1"/>
        <v>-43095</v>
      </c>
      <c r="AA9" s="2">
        <f t="shared" si="2"/>
        <v>0</v>
      </c>
      <c r="AB9">
        <f t="shared" si="3"/>
        <v>0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H10" s="70"/>
      <c r="O10" s="11" t="s">
        <v>207</v>
      </c>
      <c r="P10" s="33"/>
      <c r="Q10" s="2">
        <f>M66</f>
        <v>0</v>
      </c>
      <c r="W10" s="134"/>
      <c r="Z10">
        <f t="shared" si="1"/>
        <v>-43095</v>
      </c>
      <c r="AA10" s="2">
        <f t="shared" si="2"/>
        <v>0</v>
      </c>
      <c r="AB10">
        <f t="shared" si="3"/>
        <v>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H11" s="70"/>
      <c r="O11" s="11" t="s">
        <v>176</v>
      </c>
      <c r="P11" s="33"/>
      <c r="Q11" s="134">
        <f>R11*4/Q4</f>
        <v>3.4408848808952036E-2</v>
      </c>
      <c r="R11">
        <f>0.12</f>
        <v>0.12</v>
      </c>
      <c r="T11" s="817">
        <v>43124</v>
      </c>
      <c r="U11" t="s">
        <v>888</v>
      </c>
      <c r="W11" s="134"/>
      <c r="Z11">
        <f t="shared" si="1"/>
        <v>-43095</v>
      </c>
      <c r="AA11" s="2">
        <f t="shared" si="2"/>
        <v>0</v>
      </c>
      <c r="AB11">
        <f t="shared" si="3"/>
        <v>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H12" s="70"/>
      <c r="O12" s="11" t="s">
        <v>82</v>
      </c>
      <c r="Q12" s="1"/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973</v>
      </c>
      <c r="Q13">
        <f>Q4/0.95</f>
        <v>14.684105263157894</v>
      </c>
      <c r="T13" s="1">
        <v>43210</v>
      </c>
      <c r="U13" t="s">
        <v>1009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1111</v>
      </c>
      <c r="Q14" s="134">
        <v>-0.17130000000000001</v>
      </c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1115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SUM(C2:C7)</f>
        <v>650</v>
      </c>
      <c r="D18" s="18"/>
      <c r="E18" s="18"/>
      <c r="F18" s="18">
        <f>SUM(F2:F7)</f>
        <v>9758.5</v>
      </c>
      <c r="G18" s="14"/>
      <c r="H18" s="71">
        <f>SUM(H2:H5)</f>
        <v>350</v>
      </c>
      <c r="I18" s="18"/>
      <c r="J18" s="18"/>
      <c r="K18" s="18">
        <f>SUM(K2:K5)</f>
        <v>5108.8999999999996</v>
      </c>
      <c r="L18" s="14"/>
      <c r="M18" s="18">
        <f>SUM(M2:M10)</f>
        <v>24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350</v>
      </c>
      <c r="D19" s="343"/>
      <c r="E19" s="343"/>
      <c r="F19" s="344">
        <f>SumByColor($A$19,F2:F17)</f>
        <v>5012</v>
      </c>
      <c r="G19" s="343"/>
      <c r="H19" s="343">
        <f>SumByColor($A$19,H2:H17)</f>
        <v>350</v>
      </c>
      <c r="I19" s="343"/>
      <c r="J19" s="343"/>
      <c r="K19" s="344">
        <f>SumByColor($A$19,K2:K17)</f>
        <v>5109</v>
      </c>
      <c r="L19" s="343"/>
      <c r="M19" s="344">
        <f>SumByColor($A$19,M2:M17)</f>
        <v>24</v>
      </c>
      <c r="W19" s="134"/>
      <c r="AA19" s="2"/>
    </row>
    <row r="20" spans="1:34" ht="20.25" thickBot="1" x14ac:dyDescent="0.35">
      <c r="O20" s="851" t="s">
        <v>78</v>
      </c>
      <c r="P20" s="851"/>
      <c r="W20" s="134"/>
    </row>
    <row r="21" spans="1:34" ht="15.75" thickTop="1" x14ac:dyDescent="0.25">
      <c r="O21" s="81">
        <v>1.1000000000000001</v>
      </c>
      <c r="P21" s="81">
        <f>O21*$Q$4</f>
        <v>15.344890000000001</v>
      </c>
      <c r="W21" s="134"/>
    </row>
    <row r="22" spans="1:34" x14ac:dyDescent="0.25">
      <c r="O22" s="81">
        <v>1.0900000000000001</v>
      </c>
      <c r="P22" s="81">
        <f t="shared" ref="P22:P41" si="10">O22*$Q$4</f>
        <v>15.205391000000001</v>
      </c>
      <c r="W22" s="134"/>
    </row>
    <row r="23" spans="1:34" x14ac:dyDescent="0.25">
      <c r="O23" s="81">
        <v>1.08</v>
      </c>
      <c r="P23" s="81">
        <f t="shared" si="10"/>
        <v>15.065892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973</v>
      </c>
      <c r="O24" s="81">
        <v>1.07</v>
      </c>
      <c r="P24" s="81">
        <f t="shared" si="10"/>
        <v>14.926393000000001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" si="11">C25*(E25-D25)</f>
        <v>-3.9999999999999147</v>
      </c>
      <c r="G25" s="39">
        <f t="shared" ref="G25" si="12">D25*C25</f>
        <v>3490</v>
      </c>
      <c r="H25" s="222">
        <f t="shared" ref="H25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14.786894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ref="F26" si="14">C26*(E26-D26)</f>
        <v>139.99999999999986</v>
      </c>
      <c r="G26" s="39">
        <f t="shared" ref="G26" si="15">D26*C26</f>
        <v>3490</v>
      </c>
      <c r="H26" s="222">
        <f t="shared" ref="H26" si="16">(E26-D26)/D26</f>
        <v>4.0114613180515721E-2</v>
      </c>
      <c r="I26" s="39"/>
      <c r="J26" s="39"/>
      <c r="K26" s="39"/>
      <c r="L26" s="39"/>
      <c r="O26" s="81">
        <v>1.05</v>
      </c>
      <c r="P26" s="81">
        <f t="shared" si="10"/>
        <v>14.647394999999999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ref="F27" si="17">C27*(E27-D27)</f>
        <v>217.99999999999997</v>
      </c>
      <c r="G27" s="39">
        <f t="shared" ref="G27" si="18">D27*C27</f>
        <v>3490</v>
      </c>
      <c r="H27" s="222">
        <f t="shared" ref="H27" si="19">(E27-D27)/D27</f>
        <v>6.246418338108882E-2</v>
      </c>
      <c r="I27" s="39"/>
      <c r="J27" s="39"/>
      <c r="K27" s="39"/>
      <c r="L27" s="155"/>
      <c r="O27" s="81">
        <v>1.04</v>
      </c>
      <c r="P27" s="81">
        <f t="shared" si="10"/>
        <v>14.507896000000001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20">C28*(E28-D28)</f>
        <v>-19.999999999999574</v>
      </c>
      <c r="G28" s="39">
        <f t="shared" ref="G28:G30" si="21">D28*C28</f>
        <v>3490</v>
      </c>
      <c r="H28" s="222">
        <f t="shared" ref="H28:H30" si="22">(E28-D28)/D28</f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14.368397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20"/>
        <v>-201.9999999999996</v>
      </c>
      <c r="G29" s="39">
        <f t="shared" si="21"/>
        <v>3490</v>
      </c>
      <c r="H29" s="222">
        <f t="shared" si="22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14.228897999999999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20"/>
        <v>-668</v>
      </c>
      <c r="G30" s="39">
        <f t="shared" si="21"/>
        <v>6296</v>
      </c>
      <c r="H30" s="222">
        <f t="shared" si="22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14.089399</v>
      </c>
      <c r="W30" s="134"/>
    </row>
    <row r="31" spans="1:34" x14ac:dyDescent="0.25">
      <c r="B31" s="184">
        <v>43184</v>
      </c>
      <c r="C31" s="7">
        <v>400</v>
      </c>
      <c r="D31" s="43">
        <v>15.74</v>
      </c>
      <c r="E31" s="39">
        <v>13.07</v>
      </c>
      <c r="F31" s="39">
        <f t="shared" ref="F31" si="23">C31*(E31-D31)</f>
        <v>-1068</v>
      </c>
      <c r="G31" s="39">
        <f t="shared" ref="G31" si="24">D31*C31</f>
        <v>6296</v>
      </c>
      <c r="H31" s="222">
        <f t="shared" ref="H31" si="25">(E31-D31)/D31</f>
        <v>-0.16963151207115629</v>
      </c>
      <c r="I31" s="39"/>
      <c r="J31" s="39"/>
      <c r="K31" s="39"/>
      <c r="L31" s="155"/>
      <c r="O31" s="81">
        <v>1</v>
      </c>
      <c r="P31" s="81">
        <f t="shared" si="10"/>
        <v>13.9499</v>
      </c>
      <c r="W31" s="134"/>
    </row>
    <row r="32" spans="1:34" x14ac:dyDescent="0.25">
      <c r="A32">
        <v>200</v>
      </c>
      <c r="B32" s="184">
        <v>43185</v>
      </c>
      <c r="C32" s="7">
        <v>400</v>
      </c>
      <c r="D32" s="43">
        <v>15.74</v>
      </c>
      <c r="E32" s="39">
        <v>12.89</v>
      </c>
      <c r="F32" s="39">
        <f t="shared" ref="F32" si="26">C32*(E32-D32)</f>
        <v>-1139.9999999999998</v>
      </c>
      <c r="G32" s="39">
        <f t="shared" ref="G32" si="27">D32*C32</f>
        <v>6296</v>
      </c>
      <c r="H32" s="222">
        <f t="shared" ref="H32" si="28">(E32-D32)/D32</f>
        <v>-0.18106734434561625</v>
      </c>
      <c r="I32" s="39"/>
      <c r="J32" s="39"/>
      <c r="K32" s="39"/>
      <c r="L32" s="155"/>
      <c r="O32" s="81">
        <v>0.99</v>
      </c>
      <c r="P32" s="81">
        <f t="shared" si="10"/>
        <v>13.810400999999999</v>
      </c>
      <c r="W32" s="134"/>
    </row>
    <row r="33" spans="1:23" x14ac:dyDescent="0.25">
      <c r="A33" s="29"/>
      <c r="B33" s="184">
        <v>43186</v>
      </c>
      <c r="C33" s="7">
        <v>400</v>
      </c>
      <c r="D33" s="43">
        <v>15.74</v>
      </c>
      <c r="E33" s="39">
        <v>13.44</v>
      </c>
      <c r="F33" s="39">
        <f t="shared" ref="F33:F38" si="29">C33*(E33-D33)</f>
        <v>-920.00000000000023</v>
      </c>
      <c r="G33" s="39">
        <f t="shared" ref="G33:G38" si="30">D33*C33</f>
        <v>6296</v>
      </c>
      <c r="H33" s="222">
        <f t="shared" ref="H33:H38" si="31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13.670902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29"/>
        <v>-376.05000000000024</v>
      </c>
      <c r="G34" s="39">
        <f t="shared" si="30"/>
        <v>4076.05</v>
      </c>
      <c r="H34" s="222">
        <f t="shared" si="31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13.531402999999999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29"/>
        <v>-288.58500000000021</v>
      </c>
      <c r="G35" s="39">
        <f t="shared" si="30"/>
        <v>2543.085</v>
      </c>
      <c r="H35" s="222">
        <f t="shared" si="31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13.391903999999998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29"/>
        <v>-417.56999999999994</v>
      </c>
      <c r="G36" s="39">
        <f t="shared" si="30"/>
        <v>4671.57</v>
      </c>
      <c r="H36" s="222">
        <f t="shared" si="31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13.252405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29"/>
        <v>-685.59999999999945</v>
      </c>
      <c r="G37" s="39">
        <f t="shared" si="30"/>
        <v>6005.5999999999995</v>
      </c>
      <c r="H37" s="222">
        <f t="shared" si="31"/>
        <v>-0.11416011722392425</v>
      </c>
      <c r="I37" s="39"/>
      <c r="J37" s="39"/>
      <c r="K37" s="39"/>
      <c r="L37" s="39"/>
      <c r="O37" s="81">
        <v>0.94</v>
      </c>
      <c r="P37" s="81">
        <f t="shared" si="10"/>
        <v>13.112905999999999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29"/>
        <v>-485.60999999999962</v>
      </c>
      <c r="G38" s="39">
        <f t="shared" si="30"/>
        <v>4625.6099999999997</v>
      </c>
      <c r="H38" s="222">
        <f t="shared" si="31"/>
        <v>-0.1049829103620927</v>
      </c>
      <c r="I38" s="39"/>
      <c r="J38" s="39"/>
      <c r="K38" s="39"/>
      <c r="L38" s="39"/>
      <c r="O38" s="81">
        <v>0.93</v>
      </c>
      <c r="P38" s="81">
        <f t="shared" si="10"/>
        <v>12.973407</v>
      </c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10"/>
        <v>12.833908000000001</v>
      </c>
      <c r="W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10"/>
        <v>12.694409</v>
      </c>
      <c r="W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10"/>
        <v>12.55491</v>
      </c>
      <c r="Q41" s="2"/>
      <c r="W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W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W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W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W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781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80" priority="25">
      <formula>F47&gt;0</formula>
    </cfRule>
    <cfRule type="expression" dxfId="1979" priority="26">
      <formula>F47&lt;0</formula>
    </cfRule>
  </conditionalFormatting>
  <conditionalFormatting sqref="Q7">
    <cfRule type="expression" dxfId="1978" priority="23">
      <formula>Q7&gt;0</formula>
    </cfRule>
    <cfRule type="expression" dxfId="1977" priority="24">
      <formula>Q7&lt;0</formula>
    </cfRule>
  </conditionalFormatting>
  <conditionalFormatting sqref="Q8">
    <cfRule type="expression" dxfId="1976" priority="21">
      <formula>Q8&gt;0</formula>
    </cfRule>
    <cfRule type="expression" dxfId="1975" priority="22">
      <formula>Q8&lt;0</formula>
    </cfRule>
  </conditionalFormatting>
  <conditionalFormatting sqref="F25:F30 F34:F46">
    <cfRule type="expression" dxfId="1974" priority="19">
      <formula>F25&gt;0</formula>
    </cfRule>
    <cfRule type="expression" dxfId="1973" priority="20">
      <formula>F25&lt;0</formula>
    </cfRule>
  </conditionalFormatting>
  <conditionalFormatting sqref="H25:H30 H34:H46">
    <cfRule type="expression" dxfId="1972" priority="17">
      <formula>H25&gt;0</formula>
    </cfRule>
    <cfRule type="expression" dxfId="1971" priority="18">
      <formula>H25&lt;0</formula>
    </cfRule>
  </conditionalFormatting>
  <conditionalFormatting sqref="F89:F110">
    <cfRule type="expression" dxfId="1970" priority="15">
      <formula>F89&gt;0</formula>
    </cfRule>
    <cfRule type="expression" dxfId="1969" priority="16">
      <formula>F89&lt;0</formula>
    </cfRule>
  </conditionalFormatting>
  <conditionalFormatting sqref="H89:H110">
    <cfRule type="expression" dxfId="1968" priority="13">
      <formula>H89&gt;0</formula>
    </cfRule>
    <cfRule type="expression" dxfId="1967" priority="14">
      <formula>H89&lt;0</formula>
    </cfRule>
  </conditionalFormatting>
  <conditionalFormatting sqref="Q10">
    <cfRule type="expression" dxfId="1966" priority="11">
      <formula>Q10&gt;0</formula>
    </cfRule>
    <cfRule type="expression" dxfId="1965" priority="12">
      <formula>Q10&lt;0</formula>
    </cfRule>
  </conditionalFormatting>
  <conditionalFormatting sqref="J25:J38">
    <cfRule type="expression" dxfId="1964" priority="9">
      <formula>J25&gt;0</formula>
    </cfRule>
    <cfRule type="expression" dxfId="1963" priority="10">
      <formula>J25&lt;0</formula>
    </cfRule>
  </conditionalFormatting>
  <conditionalFormatting sqref="K25:K38">
    <cfRule type="expression" dxfId="1962" priority="7">
      <formula>K25&gt;0</formula>
    </cfRule>
    <cfRule type="expression" dxfId="1961" priority="8">
      <formula>K25&lt;0</formula>
    </cfRule>
  </conditionalFormatting>
  <conditionalFormatting sqref="L25:L38">
    <cfRule type="expression" dxfId="1960" priority="5">
      <formula>L25&gt;0</formula>
    </cfRule>
    <cfRule type="expression" dxfId="1959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58" priority="3">
      <formula>F31&gt;0</formula>
    </cfRule>
    <cfRule type="expression" dxfId="1957" priority="4">
      <formula>F31&lt;0</formula>
    </cfRule>
  </conditionalFormatting>
  <conditionalFormatting sqref="H31:H33">
    <cfRule type="expression" dxfId="1956" priority="1">
      <formula>H31&gt;0</formula>
    </cfRule>
    <cfRule type="expression" dxfId="1955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964</v>
      </c>
      <c r="B2" s="72">
        <v>43181</v>
      </c>
      <c r="C2" s="4">
        <v>100</v>
      </c>
      <c r="D2" s="3">
        <v>52.8</v>
      </c>
      <c r="E2" s="3">
        <v>0</v>
      </c>
      <c r="F2" s="3">
        <f t="shared" ref="F2:F3" si="0"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>
        <v>43228</v>
      </c>
      <c r="C3" s="4">
        <v>100</v>
      </c>
      <c r="D3" s="3">
        <v>46.08</v>
      </c>
      <c r="E3" s="3">
        <v>0</v>
      </c>
      <c r="F3" s="3">
        <f t="shared" si="0"/>
        <v>4608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49.396250000000002</v>
      </c>
      <c r="T3" s="1">
        <v>43160</v>
      </c>
      <c r="U3" t="s">
        <v>994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45.809899999999999</v>
      </c>
      <c r="R4" s="495">
        <v>9.4999999999999998E-3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9161.98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9879.25</v>
      </c>
      <c r="T6" s="1">
        <v>43227</v>
      </c>
      <c r="U6" t="s">
        <v>1064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-717.27000000000044</v>
      </c>
      <c r="R7">
        <v>200</v>
      </c>
      <c r="U7" t="s">
        <v>1070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-717.27000000000044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-7.2603689551332382E-2</v>
      </c>
      <c r="T9" s="770">
        <v>43285</v>
      </c>
      <c r="U9" t="s">
        <v>1171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973</v>
      </c>
      <c r="Q13">
        <f>Q4/2.6</f>
        <v>17.619192307692305</v>
      </c>
    </row>
    <row r="14" spans="1:21" x14ac:dyDescent="0.25">
      <c r="H14" s="70"/>
      <c r="O14" s="11" t="s">
        <v>1062</v>
      </c>
      <c r="Q14" s="1">
        <v>43247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9888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8.75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9</v>
      </c>
    </row>
    <row r="22" spans="1:17" ht="20.25" thickBot="1" x14ac:dyDescent="0.35">
      <c r="O22" s="799" t="s">
        <v>78</v>
      </c>
      <c r="P22" s="799"/>
    </row>
    <row r="23" spans="1:17" ht="15.75" thickTop="1" x14ac:dyDescent="0.25">
      <c r="O23" s="81">
        <v>1.1000000000000001</v>
      </c>
      <c r="P23" s="81">
        <f>O23*$Q$4</f>
        <v>50.390890000000006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973</v>
      </c>
      <c r="L24" s="220"/>
      <c r="O24" s="81">
        <v>1.0900000000000001</v>
      </c>
      <c r="P24" s="81">
        <f t="shared" ref="P24:P43" si="1">O24*$Q$4</f>
        <v>49.932791000000002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2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49.474692000000005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2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49.016593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2">
        <f t="shared" ref="H27" si="10"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48.558494000000003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 t="shared" ref="F28:F29" si="11">C28*(E28-D28)</f>
        <v>-377.99999999999943</v>
      </c>
      <c r="G28" s="39">
        <f t="shared" ref="G28:G29" si="12">D28*C28</f>
        <v>5280</v>
      </c>
      <c r="H28" s="222">
        <f t="shared" ref="H28:H29" si="13"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48.100394999999999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 t="shared" si="11"/>
        <v>-371.24999999999989</v>
      </c>
      <c r="G29" s="39">
        <f t="shared" si="12"/>
        <v>5271.25</v>
      </c>
      <c r="H29" s="222">
        <f t="shared" si="13"/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47.642296000000002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36" si="14">C30*(E30-D30)</f>
        <v>-347.24999999999966</v>
      </c>
      <c r="G30" s="39">
        <f t="shared" ref="G30:G36" si="15">D30*C30</f>
        <v>5271.25</v>
      </c>
      <c r="H30" s="222">
        <f t="shared" ref="H30:H36" si="16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47.184196999999998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14"/>
        <v>-579.24999999999966</v>
      </c>
      <c r="G31" s="39">
        <f t="shared" si="15"/>
        <v>5271.25</v>
      </c>
      <c r="H31" s="222">
        <f t="shared" si="16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46.726098</v>
      </c>
      <c r="Q31" s="2"/>
    </row>
    <row r="32" spans="1:17" x14ac:dyDescent="0.25">
      <c r="A32">
        <v>100</v>
      </c>
      <c r="B32" s="184">
        <v>43228</v>
      </c>
      <c r="C32" s="10">
        <v>200</v>
      </c>
      <c r="D32" s="39">
        <v>49.396299999999997</v>
      </c>
      <c r="E32" s="39">
        <v>44.47</v>
      </c>
      <c r="F32" s="39">
        <f t="shared" si="14"/>
        <v>-985.25999999999954</v>
      </c>
      <c r="G32" s="39">
        <f t="shared" si="15"/>
        <v>9879.2599999999984</v>
      </c>
      <c r="H32" s="222">
        <f t="shared" si="16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46.267998999999996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14"/>
        <v>-378.00000000000011</v>
      </c>
      <c r="G33" s="39">
        <f t="shared" si="15"/>
        <v>9880</v>
      </c>
      <c r="H33" s="222">
        <f t="shared" si="16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45.809899999999999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14"/>
        <v>-965.25999999999931</v>
      </c>
      <c r="G34" s="39">
        <f t="shared" si="15"/>
        <v>9879.2599999999984</v>
      </c>
      <c r="H34" s="222">
        <f t="shared" si="16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45.351801000000002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14"/>
        <v>-1087.2599999999991</v>
      </c>
      <c r="G35" s="39">
        <f t="shared" si="15"/>
        <v>9879.2599999999984</v>
      </c>
      <c r="H35" s="222">
        <f t="shared" si="16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44.893701999999998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14"/>
        <v>-803.25999999999885</v>
      </c>
      <c r="G36" s="39">
        <f t="shared" si="15"/>
        <v>9879.2599999999984</v>
      </c>
      <c r="H36" s="222">
        <f t="shared" si="16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44.435603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43.977503999999996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43.519404999999999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43.061305999999995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42.603207000000005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42.145108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41.687009000000003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41.228909999999999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54" priority="31">
      <formula>F47&gt;0</formula>
    </cfRule>
    <cfRule type="expression" dxfId="1953" priority="32">
      <formula>F47&lt;0</formula>
    </cfRule>
  </conditionalFormatting>
  <conditionalFormatting sqref="Q7">
    <cfRule type="expression" dxfId="1952" priority="29">
      <formula>Q7&gt;0</formula>
    </cfRule>
    <cfRule type="expression" dxfId="1951" priority="30">
      <formula>Q7&lt;0</formula>
    </cfRule>
  </conditionalFormatting>
  <conditionalFormatting sqref="Q8">
    <cfRule type="expression" dxfId="1950" priority="27">
      <formula>Q8&gt;0</formula>
    </cfRule>
    <cfRule type="expression" dxfId="1949" priority="28">
      <formula>Q8&lt;0</formula>
    </cfRule>
  </conditionalFormatting>
  <conditionalFormatting sqref="F31:F46">
    <cfRule type="expression" dxfId="1948" priority="25">
      <formula>F31&gt;0</formula>
    </cfRule>
    <cfRule type="expression" dxfId="1947" priority="26">
      <formula>F31&lt;0</formula>
    </cfRule>
  </conditionalFormatting>
  <conditionalFormatting sqref="H31:H46">
    <cfRule type="expression" dxfId="1946" priority="23">
      <formula>H31&gt;0</formula>
    </cfRule>
    <cfRule type="expression" dxfId="1945" priority="24">
      <formula>H31&lt;0</formula>
    </cfRule>
  </conditionalFormatting>
  <conditionalFormatting sqref="Q10">
    <cfRule type="expression" dxfId="1944" priority="21">
      <formula>Q10&gt;0</formula>
    </cfRule>
    <cfRule type="expression" dxfId="1943" priority="22">
      <formula>Q10&lt;0</formula>
    </cfRule>
  </conditionalFormatting>
  <conditionalFormatting sqref="J25:J38">
    <cfRule type="expression" dxfId="1942" priority="19">
      <formula>J25&gt;0</formula>
    </cfRule>
    <cfRule type="expression" dxfId="1941" priority="20">
      <formula>J25&lt;0</formula>
    </cfRule>
  </conditionalFormatting>
  <conditionalFormatting sqref="K37:K38">
    <cfRule type="expression" dxfId="1940" priority="17">
      <formula>K37&gt;0</formula>
    </cfRule>
    <cfRule type="expression" dxfId="1939" priority="18">
      <formula>K37&lt;0</formula>
    </cfRule>
  </conditionalFormatting>
  <conditionalFormatting sqref="L25:L38">
    <cfRule type="expression" dxfId="1938" priority="15">
      <formula>L25&gt;0</formula>
    </cfRule>
    <cfRule type="expression" dxfId="1937" priority="16">
      <formula>L25&lt;0</formula>
    </cfRule>
  </conditionalFormatting>
  <conditionalFormatting sqref="F89:F110">
    <cfRule type="expression" dxfId="1936" priority="13">
      <formula>F89&gt;0</formula>
    </cfRule>
    <cfRule type="expression" dxfId="1935" priority="14">
      <formula>F89&lt;0</formula>
    </cfRule>
  </conditionalFormatting>
  <conditionalFormatting sqref="H89:H110">
    <cfRule type="expression" dxfId="1934" priority="11">
      <formula>H89&gt;0</formula>
    </cfRule>
    <cfRule type="expression" dxfId="1933" priority="12">
      <formula>H89&lt;0</formula>
    </cfRule>
  </conditionalFormatting>
  <conditionalFormatting sqref="J89:J102">
    <cfRule type="expression" dxfId="1932" priority="9">
      <formula>J89&gt;0</formula>
    </cfRule>
    <cfRule type="expression" dxfId="1931" priority="10">
      <formula>J89&lt;0</formula>
    </cfRule>
  </conditionalFormatting>
  <conditionalFormatting sqref="K89:K102">
    <cfRule type="expression" dxfId="1930" priority="7">
      <formula>K89&gt;0</formula>
    </cfRule>
    <cfRule type="expression" dxfId="1929" priority="8">
      <formula>K89&lt;0</formula>
    </cfRule>
  </conditionalFormatting>
  <conditionalFormatting sqref="L89:L102">
    <cfRule type="expression" dxfId="1928" priority="5">
      <formula>L89&gt;0</formula>
    </cfRule>
    <cfRule type="expression" dxfId="1927" priority="6">
      <formula>L89&lt;0</formula>
    </cfRule>
  </conditionalFormatting>
  <conditionalFormatting sqref="F25:F30">
    <cfRule type="expression" dxfId="1926" priority="3">
      <formula>F25&gt;0</formula>
    </cfRule>
    <cfRule type="expression" dxfId="1925" priority="4">
      <formula>F25&lt;0</formula>
    </cfRule>
  </conditionalFormatting>
  <conditionalFormatting sqref="H25:H30">
    <cfRule type="expression" dxfId="1924" priority="1">
      <formula>H25&gt;0</formula>
    </cfRule>
    <cfRule type="expression" dxfId="192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1044</v>
      </c>
      <c r="B2" s="434">
        <v>43222</v>
      </c>
      <c r="C2" s="7">
        <v>50</v>
      </c>
      <c r="D2" s="43">
        <v>49.18</v>
      </c>
      <c r="E2" s="43">
        <v>0</v>
      </c>
      <c r="F2" s="43">
        <f t="shared" ref="F2" si="0"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100</v>
      </c>
      <c r="T2" s="1"/>
      <c r="U2" t="s">
        <v>1045</v>
      </c>
    </row>
    <row r="3" spans="1:21" x14ac:dyDescent="0.25">
      <c r="A3" s="22" t="s">
        <v>71</v>
      </c>
      <c r="B3" s="72">
        <v>43222</v>
      </c>
      <c r="C3" s="4">
        <v>100</v>
      </c>
      <c r="D3" s="3">
        <v>49.18</v>
      </c>
      <c r="E3" s="3">
        <v>0</v>
      </c>
      <c r="F3" s="3">
        <f t="shared" ref="F3" si="1">C3*D3+E3</f>
        <v>4918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48.044899999999998</v>
      </c>
      <c r="T3" s="1"/>
      <c r="U3" s="22" t="s">
        <v>1079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52.0199</v>
      </c>
      <c r="R4" s="495">
        <v>-4.0000000000000001E-3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5201.99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4804.49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397.5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397.5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8.2735108200870433E-2</v>
      </c>
      <c r="T9" s="156"/>
      <c r="U9" t="s">
        <v>1078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2.8835118867971681E-2</v>
      </c>
      <c r="R11">
        <v>1.5</v>
      </c>
    </row>
    <row r="12" spans="1:21" x14ac:dyDescent="0.25">
      <c r="H12" s="70"/>
      <c r="O12" s="11" t="s">
        <v>946</v>
      </c>
      <c r="Q12" s="1"/>
    </row>
    <row r="13" spans="1:21" x14ac:dyDescent="0.25">
      <c r="H13" s="70"/>
      <c r="O13" s="11" t="s">
        <v>973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1" t="s">
        <v>78</v>
      </c>
      <c r="P16" s="851"/>
    </row>
    <row r="17" spans="1:21" ht="15.75" thickTop="1" x14ac:dyDescent="0.25">
      <c r="O17" s="81">
        <v>1.1000000000000001</v>
      </c>
      <c r="P17" s="81">
        <f>O17*$Q$4</f>
        <v>57.221890000000002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50</v>
      </c>
      <c r="I18" s="18"/>
      <c r="J18" s="18"/>
      <c r="K18" s="18">
        <f>SUM(K2:K5)</f>
        <v>2533.13</v>
      </c>
      <c r="L18" s="14"/>
      <c r="M18" s="18">
        <f>SUM(M2:M10)</f>
        <v>39.380000000000003</v>
      </c>
      <c r="O18" s="81">
        <v>1.0900000000000001</v>
      </c>
      <c r="P18" s="81">
        <f t="shared" ref="P18:P37" si="2">O18*$Q$4</f>
        <v>56.701691000000004</v>
      </c>
    </row>
    <row r="19" spans="1:21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2459</v>
      </c>
      <c r="G19" s="343"/>
      <c r="H19" s="343">
        <f>SumByColor($A$19,H2:H17)</f>
        <v>50</v>
      </c>
      <c r="I19" s="343"/>
      <c r="J19" s="343"/>
      <c r="K19" s="344">
        <f>SumByColor($A$19,K2:K17)</f>
        <v>2533</v>
      </c>
      <c r="L19" s="343"/>
      <c r="M19" s="344">
        <f>SumByColor($A$19,M2:M17)</f>
        <v>39</v>
      </c>
      <c r="O19" s="81">
        <v>1.08</v>
      </c>
      <c r="P19" s="81">
        <f t="shared" si="2"/>
        <v>56.181492000000006</v>
      </c>
    </row>
    <row r="20" spans="1:21" x14ac:dyDescent="0.25">
      <c r="O20" s="81">
        <v>1.07</v>
      </c>
      <c r="P20" s="81">
        <f t="shared" si="2"/>
        <v>55.661293000000001</v>
      </c>
    </row>
    <row r="21" spans="1:21" x14ac:dyDescent="0.25">
      <c r="O21" s="81">
        <v>1.06</v>
      </c>
      <c r="P21" s="81">
        <f t="shared" si="2"/>
        <v>55.141094000000002</v>
      </c>
    </row>
    <row r="22" spans="1:21" x14ac:dyDescent="0.25">
      <c r="O22" s="81">
        <v>1.05</v>
      </c>
      <c r="P22" s="81">
        <f t="shared" si="2"/>
        <v>54.620895000000004</v>
      </c>
    </row>
    <row r="23" spans="1:21" x14ac:dyDescent="0.25">
      <c r="O23" s="81">
        <v>1.04</v>
      </c>
      <c r="P23" s="81">
        <f t="shared" si="2"/>
        <v>54.100695999999999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669</v>
      </c>
      <c r="L24" s="220" t="s">
        <v>497</v>
      </c>
      <c r="O24" s="81">
        <v>1.03</v>
      </c>
      <c r="P24" s="81">
        <f t="shared" si="2"/>
        <v>53.580497000000001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 t="shared" ref="F25" si="3">C25*(E25-D25)</f>
        <v>-22.499999999999787</v>
      </c>
      <c r="G25" s="39">
        <f t="shared" ref="G25:G26" si="4">D25*C25</f>
        <v>7377</v>
      </c>
      <c r="H25" s="222">
        <f t="shared" ref="H25:H26" si="5">(E25-D25)/D25</f>
        <v>-3.0500203334688611E-3</v>
      </c>
      <c r="I25" s="39"/>
      <c r="J25" s="39"/>
      <c r="K25" s="39"/>
      <c r="L25" s="39"/>
      <c r="O25" s="81">
        <v>1.02</v>
      </c>
      <c r="P25" s="81">
        <f t="shared" si="2"/>
        <v>53.060298000000003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 t="shared" si="4"/>
        <v>4843.87</v>
      </c>
      <c r="H26" s="222">
        <f t="shared" si="5"/>
        <v>4.9367551152281156E-2</v>
      </c>
      <c r="I26" s="39"/>
      <c r="J26" s="39"/>
      <c r="K26" s="39"/>
      <c r="L26" s="39"/>
      <c r="O26" s="81">
        <v>1.01</v>
      </c>
      <c r="P26" s="81">
        <f t="shared" si="2"/>
        <v>52.540098999999998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 t="shared" ref="G27" si="6">D27*C27</f>
        <v>4804.49</v>
      </c>
      <c r="H27" s="222">
        <f t="shared" ref="H27" si="7">(E27-D27)/D27</f>
        <v>6.3796573621758002E-2</v>
      </c>
      <c r="I27" s="39"/>
      <c r="J27" s="39"/>
      <c r="K27" s="39"/>
      <c r="L27" s="39"/>
      <c r="O27" s="81">
        <v>1</v>
      </c>
      <c r="P27" s="81">
        <f t="shared" si="2"/>
        <v>52.0199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2"/>
        <v>51.499701000000002</v>
      </c>
      <c r="U28" t="s">
        <v>1077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2"/>
        <v>50.979501999999997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2"/>
        <v>50.459302999999998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2"/>
        <v>49.939104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2"/>
        <v>49.418904999999995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2"/>
        <v>48.898705999999997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2"/>
        <v>48.378506999999999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2"/>
        <v>47.858308000000001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47.338109000000003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2"/>
        <v>46.817909999999998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22" priority="35">
      <formula>F47&gt;0</formula>
    </cfRule>
    <cfRule type="expression" dxfId="1921" priority="36">
      <formula>F47&lt;0</formula>
    </cfRule>
  </conditionalFormatting>
  <conditionalFormatting sqref="Q7">
    <cfRule type="expression" dxfId="1920" priority="33">
      <formula>Q7&gt;0</formula>
    </cfRule>
    <cfRule type="expression" dxfId="1919" priority="34">
      <formula>Q7&lt;0</formula>
    </cfRule>
  </conditionalFormatting>
  <conditionalFormatting sqref="Q8">
    <cfRule type="expression" dxfId="1918" priority="31">
      <formula>Q8&gt;0</formula>
    </cfRule>
    <cfRule type="expression" dxfId="1917" priority="32">
      <formula>Q8&lt;0</formula>
    </cfRule>
  </conditionalFormatting>
  <conditionalFormatting sqref="F30:F46">
    <cfRule type="expression" dxfId="1916" priority="29">
      <formula>F30&gt;0</formula>
    </cfRule>
    <cfRule type="expression" dxfId="1915" priority="30">
      <formula>F30&lt;0</formula>
    </cfRule>
  </conditionalFormatting>
  <conditionalFormatting sqref="H30:H46">
    <cfRule type="expression" dxfId="1914" priority="27">
      <formula>H30&gt;0</formula>
    </cfRule>
    <cfRule type="expression" dxfId="1913" priority="28">
      <formula>H30&lt;0</formula>
    </cfRule>
  </conditionalFormatting>
  <conditionalFormatting sqref="Q10">
    <cfRule type="expression" dxfId="1912" priority="25">
      <formula>Q10&gt;0</formula>
    </cfRule>
    <cfRule type="expression" dxfId="1911" priority="26">
      <formula>Q10&lt;0</formula>
    </cfRule>
  </conditionalFormatting>
  <conditionalFormatting sqref="J25:J38">
    <cfRule type="expression" dxfId="1910" priority="23">
      <formula>J25&gt;0</formula>
    </cfRule>
    <cfRule type="expression" dxfId="1909" priority="24">
      <formula>J25&lt;0</formula>
    </cfRule>
  </conditionalFormatting>
  <conditionalFormatting sqref="K25:K38">
    <cfRule type="expression" dxfId="1908" priority="21">
      <formula>K25&gt;0</formula>
    </cfRule>
    <cfRule type="expression" dxfId="1907" priority="22">
      <formula>K25&lt;0</formula>
    </cfRule>
  </conditionalFormatting>
  <conditionalFormatting sqref="L25 L38">
    <cfRule type="expression" dxfId="1906" priority="19">
      <formula>L25&gt;0</formula>
    </cfRule>
    <cfRule type="expression" dxfId="1905" priority="20">
      <formula>L25&lt;0</formula>
    </cfRule>
  </conditionalFormatting>
  <conditionalFormatting sqref="F89:F110">
    <cfRule type="expression" dxfId="1904" priority="17">
      <formula>F89&gt;0</formula>
    </cfRule>
    <cfRule type="expression" dxfId="1903" priority="18">
      <formula>F89&lt;0</formula>
    </cfRule>
  </conditionalFormatting>
  <conditionalFormatting sqref="H89:H110">
    <cfRule type="expression" dxfId="1902" priority="15">
      <formula>H89&gt;0</formula>
    </cfRule>
    <cfRule type="expression" dxfId="1901" priority="16">
      <formula>H89&lt;0</formula>
    </cfRule>
  </conditionalFormatting>
  <conditionalFormatting sqref="J89:J102">
    <cfRule type="expression" dxfId="1900" priority="13">
      <formula>J89&gt;0</formula>
    </cfRule>
    <cfRule type="expression" dxfId="1899" priority="14">
      <formula>J89&lt;0</formula>
    </cfRule>
  </conditionalFormatting>
  <conditionalFormatting sqref="K89:K102">
    <cfRule type="expression" dxfId="1898" priority="11">
      <formula>K89&gt;0</formula>
    </cfRule>
    <cfRule type="expression" dxfId="1897" priority="12">
      <formula>K89&lt;0</formula>
    </cfRule>
  </conditionalFormatting>
  <conditionalFormatting sqref="L89:L102">
    <cfRule type="expression" dxfId="1896" priority="9">
      <formula>L89&gt;0</formula>
    </cfRule>
    <cfRule type="expression" dxfId="1895" priority="10">
      <formula>L89&lt;0</formula>
    </cfRule>
  </conditionalFormatting>
  <conditionalFormatting sqref="F25 F29">
    <cfRule type="expression" dxfId="1894" priority="7">
      <formula>F25&gt;0</formula>
    </cfRule>
    <cfRule type="expression" dxfId="1893" priority="8">
      <formula>F25&lt;0</formula>
    </cfRule>
  </conditionalFormatting>
  <conditionalFormatting sqref="H29 H25:H27">
    <cfRule type="expression" dxfId="1892" priority="5">
      <formula>H25&gt;0</formula>
    </cfRule>
    <cfRule type="expression" dxfId="1891" priority="6">
      <formula>H25&lt;0</formula>
    </cfRule>
  </conditionalFormatting>
  <conditionalFormatting sqref="F26:F28">
    <cfRule type="expression" dxfId="1890" priority="3">
      <formula>F26&gt;0</formula>
    </cfRule>
    <cfRule type="expression" dxfId="1889" priority="4">
      <formula>F26&lt;0</formula>
    </cfRule>
  </conditionalFormatting>
  <conditionalFormatting sqref="H28">
    <cfRule type="expression" dxfId="1888" priority="1">
      <formula>H28&gt;0</formula>
    </cfRule>
    <cfRule type="expression" dxfId="1887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28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3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1500</v>
      </c>
      <c r="T2" s="826" t="s">
        <v>347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27.715833333333347</v>
      </c>
      <c r="T3" s="813" t="s">
        <v>459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28.75</v>
      </c>
      <c r="R4" s="222">
        <v>-1.24E-2</v>
      </c>
      <c r="T4" s="34" t="s">
        <v>671</v>
      </c>
      <c r="U4" s="22" t="s">
        <v>670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43125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41573.750000000022</v>
      </c>
      <c r="T6" s="813" t="s">
        <v>1014</v>
      </c>
      <c r="U6" t="s">
        <v>1016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3299.2199999999648</v>
      </c>
      <c r="R7" s="29">
        <v>43297</v>
      </c>
      <c r="T7" s="813" t="s">
        <v>1147</v>
      </c>
      <c r="U7" t="s">
        <v>1148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1551.2499999999709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208</v>
      </c>
      <c r="Q9" s="222">
        <f>IF(Q2=0, 0, Q8/Q6)</f>
        <v>3.7313208454853607E-2</v>
      </c>
      <c r="T9" s="813" t="s">
        <v>516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4">
        <v>200</v>
      </c>
      <c r="D10" s="231">
        <v>30.58</v>
      </c>
      <c r="E10" s="3">
        <v>0</v>
      </c>
      <c r="F10" s="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207</v>
      </c>
      <c r="P10" s="33"/>
      <c r="Q10" s="2">
        <f>M257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4">
        <v>200</v>
      </c>
      <c r="D11" s="231">
        <v>30.38</v>
      </c>
      <c r="E11" s="3">
        <v>0</v>
      </c>
      <c r="F11" s="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1.9478260869565219E-2</v>
      </c>
      <c r="R11">
        <v>0.14000000000000001</v>
      </c>
      <c r="T11" s="813">
        <v>43095</v>
      </c>
      <c r="U11" t="s">
        <v>784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946</v>
      </c>
      <c r="Q12" s="29" t="s">
        <v>1156</v>
      </c>
      <c r="U12" t="s">
        <v>790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1015</v>
      </c>
      <c r="Q13" s="2">
        <f>Q4/(2+2.15)*2</f>
        <v>13.855421686746986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/>
      <c r="Q14" s="736"/>
      <c r="T14" s="813">
        <v>43102</v>
      </c>
      <c r="U14" t="s">
        <v>847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11" t="s">
        <v>1040</v>
      </c>
      <c r="Q15" s="29">
        <v>43285</v>
      </c>
      <c r="U15" t="s">
        <v>835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845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846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851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859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51" t="s">
        <v>78</v>
      </c>
      <c r="P22" s="851"/>
      <c r="U22" t="s">
        <v>860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31.625000000000004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31.337500000000002</v>
      </c>
      <c r="Q24" s="2"/>
      <c r="T24" s="813">
        <v>43126</v>
      </c>
      <c r="U24" t="s">
        <v>910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31.05</v>
      </c>
      <c r="Q25" s="2"/>
      <c r="U25" t="s">
        <v>911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4">
        <v>300</v>
      </c>
      <c r="D26" s="231">
        <v>29.28</v>
      </c>
      <c r="E26" s="3">
        <v>0</v>
      </c>
      <c r="F26" s="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30.762500000000003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30.475000000000001</v>
      </c>
      <c r="Q27" s="2"/>
      <c r="T27" s="814">
        <v>43153</v>
      </c>
      <c r="U27" t="s">
        <v>950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30.1875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29.900000000000002</v>
      </c>
      <c r="Q29" s="2"/>
      <c r="T29" s="814">
        <v>43161</v>
      </c>
      <c r="U29" t="s">
        <v>949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29.612500000000001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29.324999999999999</v>
      </c>
      <c r="Q31" s="2"/>
      <c r="T31" s="814">
        <v>43167</v>
      </c>
      <c r="U31" t="s">
        <v>976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29.037500000000001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28.75</v>
      </c>
      <c r="Q33" s="2"/>
      <c r="T33" s="813">
        <v>43196</v>
      </c>
      <c r="U33" t="s">
        <v>969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29"/>
      <c r="H34" s="176"/>
      <c r="I34" s="3"/>
      <c r="J34" s="3"/>
      <c r="K34" s="3"/>
      <c r="O34" s="81">
        <v>0.99</v>
      </c>
      <c r="P34" s="81">
        <f t="shared" si="2"/>
        <v>28.462499999999999</v>
      </c>
      <c r="Q34" s="2"/>
      <c r="U34" t="s">
        <v>991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29"/>
      <c r="O35" s="81">
        <v>0.98</v>
      </c>
      <c r="P35" s="81">
        <f t="shared" si="2"/>
        <v>28.175000000000001</v>
      </c>
      <c r="Q35" s="2"/>
      <c r="T35" s="813">
        <v>43200</v>
      </c>
      <c r="U35" t="s">
        <v>1006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2"/>
        <v>27.887499999999999</v>
      </c>
      <c r="T36" s="813">
        <v>43203</v>
      </c>
      <c r="U36" t="s">
        <v>1005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7"/>
      <c r="O37" s="81">
        <v>0.96</v>
      </c>
      <c r="P37" s="81">
        <f t="shared" si="2"/>
        <v>27.599999999999998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" si="3">D38*C38+E38</f>
        <v>1942.4</v>
      </c>
      <c r="G38" s="29"/>
      <c r="O38" s="81">
        <v>0.95</v>
      </c>
      <c r="P38" s="81">
        <f t="shared" si="2"/>
        <v>27.3125</v>
      </c>
      <c r="T38" s="813">
        <v>43210</v>
      </c>
      <c r="U38" t="s">
        <v>1011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ref="F39:F43" si="4">D39*C39+E39</f>
        <v>4856</v>
      </c>
      <c r="G39" s="29"/>
      <c r="O39" s="81">
        <v>0.94</v>
      </c>
      <c r="P39" s="81">
        <f t="shared" si="2"/>
        <v>27.024999999999999</v>
      </c>
      <c r="U39" t="s">
        <v>1012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4"/>
        <v>5080</v>
      </c>
      <c r="G40" s="29"/>
      <c r="O40" s="81">
        <v>0.93</v>
      </c>
      <c r="P40" s="81">
        <f t="shared" si="2"/>
        <v>26.737500000000001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4"/>
        <v>7395</v>
      </c>
      <c r="G41" s="477"/>
      <c r="O41" s="81">
        <v>0.92</v>
      </c>
      <c r="P41" s="81">
        <f t="shared" si="2"/>
        <v>26.450000000000003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4"/>
        <v>7581</v>
      </c>
      <c r="G42" s="477"/>
      <c r="O42" s="81">
        <v>0.91</v>
      </c>
      <c r="P42" s="81">
        <f t="shared" si="2"/>
        <v>26.162500000000001</v>
      </c>
      <c r="T42" s="813">
        <v>43214</v>
      </c>
      <c r="U42" t="s">
        <v>1017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4"/>
        <v>4914</v>
      </c>
      <c r="G43" s="29"/>
      <c r="O43" s="81">
        <v>0.9</v>
      </c>
      <c r="P43" s="81">
        <f t="shared" si="2"/>
        <v>25.875</v>
      </c>
      <c r="T43" s="813">
        <v>43221</v>
      </c>
      <c r="U43" t="s">
        <v>1058</v>
      </c>
      <c r="W43" s="134"/>
      <c r="AA43" s="2"/>
      <c r="AD43" s="2"/>
      <c r="AG43" s="2"/>
      <c r="AI43" s="2"/>
    </row>
    <row r="44" spans="1:39" x14ac:dyDescent="0.25">
      <c r="A44" t="s">
        <v>1141</v>
      </c>
      <c r="B44" s="476">
        <v>43266</v>
      </c>
      <c r="C44" s="7">
        <v>20</v>
      </c>
      <c r="D44" s="43">
        <v>25.78</v>
      </c>
      <c r="E44" s="43">
        <v>0</v>
      </c>
      <c r="F44" s="43">
        <f>D44*C44+E44</f>
        <v>515.6</v>
      </c>
      <c r="G44" s="29"/>
      <c r="T44" s="814">
        <v>43223</v>
      </c>
      <c r="U44" t="s">
        <v>1056</v>
      </c>
      <c r="W44" s="134"/>
      <c r="AA44" s="2"/>
      <c r="AD44" s="2"/>
      <c r="AG44" s="2"/>
      <c r="AI44" s="2"/>
    </row>
    <row r="45" spans="1:39" x14ac:dyDescent="0.25">
      <c r="B45" s="735">
        <v>43266</v>
      </c>
      <c r="C45" s="7">
        <v>200</v>
      </c>
      <c r="D45" s="43">
        <v>25.78</v>
      </c>
      <c r="E45" s="43">
        <v>0</v>
      </c>
      <c r="F45" s="43">
        <f>D45*C45+E45</f>
        <v>5156</v>
      </c>
      <c r="G45" s="29"/>
      <c r="W45" s="134"/>
      <c r="AA45" s="2"/>
      <c r="AD45" s="2"/>
      <c r="AG45" s="2"/>
      <c r="AI45" s="2"/>
    </row>
    <row r="46" spans="1:39" x14ac:dyDescent="0.25">
      <c r="B46" s="735">
        <v>43272</v>
      </c>
      <c r="C46" s="7">
        <v>300</v>
      </c>
      <c r="D46" s="43">
        <v>27.98</v>
      </c>
      <c r="E46" s="43">
        <v>0</v>
      </c>
      <c r="F46" s="43">
        <f>D46*C46+E46</f>
        <v>8394</v>
      </c>
      <c r="G46" s="29"/>
      <c r="T46" s="813">
        <v>43224</v>
      </c>
      <c r="U46" s="475" t="s">
        <v>1057</v>
      </c>
      <c r="W46" s="134"/>
      <c r="AA46" s="2"/>
      <c r="AD46" s="2"/>
      <c r="AG46" s="2"/>
      <c r="AI46" s="2"/>
    </row>
    <row r="47" spans="1:39" x14ac:dyDescent="0.25">
      <c r="B47" s="735">
        <v>43273</v>
      </c>
      <c r="C47" s="80">
        <v>1000</v>
      </c>
      <c r="D47" s="43">
        <v>29.06</v>
      </c>
      <c r="E47" s="43">
        <v>0</v>
      </c>
      <c r="F47" s="43">
        <f>D47*C47+E47</f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29"/>
      <c r="D48" s="78"/>
      <c r="G48" s="29"/>
      <c r="T48" s="813">
        <v>43236</v>
      </c>
      <c r="U48" t="s">
        <v>1082</v>
      </c>
      <c r="W48" s="134"/>
      <c r="AA48" s="2"/>
      <c r="AD48" s="2"/>
      <c r="AG48" s="2"/>
      <c r="AI48" s="2"/>
    </row>
    <row r="49" spans="1:39" x14ac:dyDescent="0.25">
      <c r="B49" s="29"/>
      <c r="C49" s="4"/>
      <c r="D49" s="3"/>
      <c r="E49" s="3"/>
      <c r="F49" s="3"/>
      <c r="G49" s="29"/>
      <c r="T49" s="833">
        <v>43237</v>
      </c>
      <c r="U49" t="s">
        <v>1013</v>
      </c>
      <c r="W49" s="134"/>
      <c r="AA49" s="2"/>
      <c r="AD49" s="2"/>
      <c r="AG49" s="2"/>
      <c r="AI49" s="2"/>
    </row>
    <row r="50" spans="1:39" x14ac:dyDescent="0.25">
      <c r="B50" s="29"/>
      <c r="D50" s="78"/>
      <c r="G50" s="29"/>
      <c r="U50" t="s">
        <v>1084</v>
      </c>
      <c r="W50" s="134"/>
      <c r="AA50" s="2"/>
      <c r="AD50" s="2"/>
      <c r="AG50" s="2"/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1086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3">
        <v>43243</v>
      </c>
      <c r="U53" t="s">
        <v>1097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11320</v>
      </c>
      <c r="D57" s="18"/>
      <c r="E57" s="18"/>
      <c r="F57" s="18">
        <f>SUM(F2:F56)</f>
        <v>298301.67</v>
      </c>
      <c r="G57" s="14"/>
      <c r="H57" s="14">
        <f>SUM(H2:H56)</f>
        <v>9820</v>
      </c>
      <c r="I57" s="18"/>
      <c r="J57" s="18"/>
      <c r="K57" s="18">
        <f>SUM(K2:K56)</f>
        <v>255509.51999999996</v>
      </c>
      <c r="L57" s="14"/>
      <c r="M57" s="18">
        <f>SUM(M2:M56)</f>
        <v>1218.4000000000001</v>
      </c>
      <c r="U57" t="s">
        <v>1158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9820</v>
      </c>
      <c r="D58" s="343"/>
      <c r="E58" s="343"/>
      <c r="F58" s="344">
        <f>SumByColor($A$58,F2:F56)</f>
        <v>253951</v>
      </c>
      <c r="G58" s="344"/>
      <c r="H58" s="747">
        <f>SumByColor($A$58,H2:H56)</f>
        <v>9820</v>
      </c>
      <c r="I58" s="343"/>
      <c r="J58" s="343"/>
      <c r="K58" s="344">
        <f>SumByColor($A$58,K2:K56)</f>
        <v>255514</v>
      </c>
      <c r="L58" s="343"/>
      <c r="M58" s="344">
        <f>SumByColor($A$58,M2:M56)</f>
        <v>1219</v>
      </c>
      <c r="AA58" s="2"/>
      <c r="AD58" s="2"/>
      <c r="AG58" s="2"/>
      <c r="AI58" s="2"/>
    </row>
    <row r="59" spans="1:39" x14ac:dyDescent="0.25">
      <c r="T59" s="813">
        <v>43273</v>
      </c>
      <c r="U59" t="s">
        <v>1142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1143</v>
      </c>
      <c r="AA61" s="2"/>
      <c r="AD61" s="2"/>
      <c r="AG61" s="2"/>
      <c r="AI61" s="2"/>
    </row>
    <row r="62" spans="1:39" x14ac:dyDescent="0.25">
      <c r="U62" t="s">
        <v>1144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497</v>
      </c>
      <c r="K63" s="220" t="s">
        <v>150</v>
      </c>
      <c r="L63" s="220" t="s">
        <v>728</v>
      </c>
      <c r="AA63" s="2"/>
      <c r="AD63" s="2"/>
      <c r="AG63" s="2"/>
      <c r="AI63" s="2"/>
    </row>
    <row r="64" spans="1:39" x14ac:dyDescent="0.25">
      <c r="A64" t="s">
        <v>336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5">C64*(E64-D64)</f>
        <v>-57.00000000000216</v>
      </c>
      <c r="G64" s="39">
        <f t="shared" ref="G64:G70" si="6">D64*C64</f>
        <v>13761.000000000002</v>
      </c>
      <c r="H64" s="222">
        <f t="shared" ref="H64:H70" si="7">(E64-D64)/D64</f>
        <v>-4.1421408327884717E-3</v>
      </c>
      <c r="I64" s="39">
        <v>34</v>
      </c>
      <c r="J64" s="39"/>
      <c r="K64" s="39"/>
      <c r="L64" s="39"/>
      <c r="T64" s="813">
        <v>43284</v>
      </c>
      <c r="U64" t="s">
        <v>1154</v>
      </c>
    </row>
    <row r="65" spans="1:21" x14ac:dyDescent="0.25">
      <c r="A65" t="s">
        <v>336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5"/>
        <v>-373.00000000000182</v>
      </c>
      <c r="G65" s="39">
        <f t="shared" si="6"/>
        <v>13761.000000000002</v>
      </c>
      <c r="H65" s="222">
        <f t="shared" si="7"/>
        <v>-2.7105588256667524E-2</v>
      </c>
      <c r="I65" s="39"/>
      <c r="J65" s="39"/>
      <c r="K65" s="39"/>
      <c r="L65" s="39"/>
      <c r="U65" t="s">
        <v>1155</v>
      </c>
    </row>
    <row r="66" spans="1:21" x14ac:dyDescent="0.25">
      <c r="A66" t="s">
        <v>366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5"/>
        <v>-391.00000000000182</v>
      </c>
      <c r="G66" s="39">
        <f t="shared" si="6"/>
        <v>17071</v>
      </c>
      <c r="H66" s="222">
        <f t="shared" si="7"/>
        <v>-2.2904340694745579E-2</v>
      </c>
      <c r="I66" s="39">
        <v>33.75</v>
      </c>
      <c r="J66" s="39"/>
      <c r="K66" s="39"/>
      <c r="L66" s="39"/>
    </row>
    <row r="67" spans="1:21" x14ac:dyDescent="0.25">
      <c r="A67" t="s">
        <v>390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5"/>
        <v>-60.999999999999943</v>
      </c>
      <c r="G67" s="39">
        <f t="shared" si="6"/>
        <v>17071</v>
      </c>
      <c r="H67" s="222">
        <f t="shared" si="7"/>
        <v>-3.5733114638861192E-3</v>
      </c>
      <c r="I67" s="39"/>
      <c r="J67" s="39"/>
      <c r="K67" s="39"/>
      <c r="L67" s="39"/>
    </row>
    <row r="68" spans="1:21" x14ac:dyDescent="0.25">
      <c r="A68" t="s">
        <v>406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5"/>
        <v>-531.00000000000307</v>
      </c>
      <c r="G68" s="39">
        <f t="shared" si="6"/>
        <v>20379.000000000004</v>
      </c>
      <c r="H68" s="222">
        <f t="shared" si="7"/>
        <v>-2.6056234358899016E-2</v>
      </c>
      <c r="I68" s="39"/>
      <c r="J68" s="39"/>
      <c r="K68" s="39"/>
      <c r="L68" s="39"/>
    </row>
    <row r="69" spans="1:21" x14ac:dyDescent="0.25">
      <c r="A69" t="s">
        <v>367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5"/>
        <v>-291.00000000000392</v>
      </c>
      <c r="G69" s="39">
        <f t="shared" si="6"/>
        <v>20379.000000000004</v>
      </c>
      <c r="H69" s="222">
        <f t="shared" si="7"/>
        <v>-1.4279405270131208E-2</v>
      </c>
      <c r="I69" s="39"/>
      <c r="J69" s="39"/>
      <c r="K69" s="39"/>
      <c r="L69" s="39"/>
    </row>
    <row r="70" spans="1:21" x14ac:dyDescent="0.25">
      <c r="A70" t="s">
        <v>430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5"/>
        <v>36.839999999997985</v>
      </c>
      <c r="G70" s="39">
        <f t="shared" si="6"/>
        <v>13539.160000000002</v>
      </c>
      <c r="H70" s="222">
        <f t="shared" si="7"/>
        <v>2.7209959849797166E-3</v>
      </c>
      <c r="I70" s="39" t="s">
        <v>438</v>
      </c>
      <c r="J70" s="39"/>
      <c r="K70" s="39"/>
      <c r="L70" s="39"/>
    </row>
    <row r="71" spans="1:21" x14ac:dyDescent="0.25">
      <c r="A71" t="s">
        <v>337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" si="8">C71*(E71-D71)</f>
        <v>-217.15200000000294</v>
      </c>
      <c r="G71" s="39">
        <f t="shared" ref="G71" si="9">D71*C71</f>
        <v>20155.152000000002</v>
      </c>
      <c r="H71" s="222">
        <f t="shared" ref="H71" si="10">(E71-D71)/D71</f>
        <v>-1.0774019466586158E-2</v>
      </c>
      <c r="I71" s="39">
        <v>33</v>
      </c>
      <c r="J71" s="39"/>
      <c r="K71" s="39"/>
      <c r="L71" s="39"/>
    </row>
    <row r="72" spans="1:21" x14ac:dyDescent="0.25">
      <c r="A72" t="s">
        <v>462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ref="F72" si="11">C72*(E72-D72)</f>
        <v>-815.12000000000171</v>
      </c>
      <c r="G72" s="39">
        <f t="shared" ref="G72" si="12">D72*C72</f>
        <v>26591.120000000003</v>
      </c>
      <c r="H72" s="222">
        <f t="shared" ref="H72" si="13">(E72-D72)/D72</f>
        <v>-3.0653842335336072E-2</v>
      </c>
      <c r="I72" s="39"/>
      <c r="J72" s="39"/>
      <c r="K72" s="39"/>
      <c r="L72" s="39"/>
      <c r="T72" s="848">
        <v>43377</v>
      </c>
      <c r="U72" t="s">
        <v>1194</v>
      </c>
    </row>
    <row r="73" spans="1:21" x14ac:dyDescent="0.25">
      <c r="A73" t="s">
        <v>467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ref="F73" si="14">C73*(E73-D73)</f>
        <v>-1989.12</v>
      </c>
      <c r="G73" s="39">
        <f t="shared" ref="G73" si="15">D73*C73</f>
        <v>44927.12</v>
      </c>
      <c r="H73" s="222">
        <f t="shared" ref="H73" si="16">(E73-D73)/D73</f>
        <v>-4.4274371470951167E-2</v>
      </c>
      <c r="I73" s="39"/>
      <c r="J73" s="39"/>
      <c r="K73" s="39"/>
      <c r="L73" s="39"/>
    </row>
    <row r="74" spans="1:21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ref="F74" si="17">C74*(E74-D74)</f>
        <v>-3487.4999999999991</v>
      </c>
      <c r="G74" s="39">
        <f t="shared" ref="G74" si="18">D74*C74</f>
        <v>47932.5</v>
      </c>
      <c r="H74" s="222">
        <f t="shared" ref="H74" si="19">(E74-D74)/D74</f>
        <v>-7.2758566734470329E-2</v>
      </c>
      <c r="I74" s="39"/>
      <c r="J74" s="39"/>
      <c r="K74" s="39">
        <v>-1739</v>
      </c>
      <c r="L74" s="39"/>
    </row>
    <row r="75" spans="1:21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ref="F75" si="20">C75*(E75-D75)</f>
        <v>-4805.9000000000033</v>
      </c>
      <c r="G75" s="39">
        <f t="shared" ref="G75" si="21">D75*C75</f>
        <v>53595.9</v>
      </c>
      <c r="H75" s="222">
        <f t="shared" ref="H75" si="22">(E75-D75)/D75</f>
        <v>-8.9669172455355772E-2</v>
      </c>
      <c r="I75" s="39"/>
      <c r="J75" s="39">
        <v>23.65</v>
      </c>
      <c r="K75" s="39">
        <v>-3059</v>
      </c>
      <c r="L75" s="39"/>
    </row>
    <row r="76" spans="1:21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ref="F76" si="23">C76*(E76-D76)</f>
        <v>-4532.9999999999973</v>
      </c>
      <c r="G76" s="39">
        <f t="shared" ref="G76" si="24">D76*C76</f>
        <v>47793</v>
      </c>
      <c r="H76" s="222">
        <f t="shared" ref="H76" si="25">(E76-D76)/D76</f>
        <v>-9.4846525641830354E-2</v>
      </c>
      <c r="I76" s="39"/>
      <c r="J76" s="39">
        <v>25.81</v>
      </c>
      <c r="K76" s="39">
        <v>-2785</v>
      </c>
      <c r="L76" s="39"/>
    </row>
    <row r="77" spans="1:21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ref="F77" si="26">C77*(E77-D77)</f>
        <v>-4142.9999999999955</v>
      </c>
      <c r="G77" s="39">
        <f t="shared" ref="G77" si="27">D77*C77</f>
        <v>47793</v>
      </c>
      <c r="H77" s="222">
        <f t="shared" ref="H77" si="28">(E77-D77)/D77</f>
        <v>-8.6686334818906446E-2</v>
      </c>
      <c r="I77" s="39"/>
      <c r="J77" s="39"/>
      <c r="K77" s="39">
        <v>-2395</v>
      </c>
      <c r="L77" s="39"/>
    </row>
    <row r="78" spans="1:21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ref="F78" si="29">C78*(E78-D78)</f>
        <v>-3764.9999999999968</v>
      </c>
      <c r="G78" s="39">
        <f t="shared" ref="G78" si="30">D78*C78</f>
        <v>47790</v>
      </c>
      <c r="H78" s="222">
        <f t="shared" ref="H78" si="31">(E78-D78)/D78</f>
        <v>-7.878217200251092E-2</v>
      </c>
      <c r="I78" s="39"/>
      <c r="J78" s="39"/>
      <c r="K78" s="39">
        <v>-2016</v>
      </c>
      <c r="L78" s="39"/>
    </row>
    <row r="79" spans="1:21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ref="F79:F80" si="32">C79*(E79-D79)</f>
        <v>-3944.9999999999986</v>
      </c>
      <c r="G79" s="39">
        <f t="shared" ref="G79:G80" si="33">D79*C79</f>
        <v>47790</v>
      </c>
      <c r="H79" s="222">
        <f t="shared" ref="H79:H80" si="34">(E79-D79)/D79</f>
        <v>-8.2548650345260488E-2</v>
      </c>
      <c r="I79" s="39">
        <v>31</v>
      </c>
      <c r="J79" s="39"/>
      <c r="K79" s="39">
        <v>-2196</v>
      </c>
      <c r="L79" s="39"/>
    </row>
    <row r="80" spans="1:21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32"/>
        <v>-11658.96</v>
      </c>
      <c r="G80" s="39">
        <f t="shared" si="33"/>
        <v>55182.96</v>
      </c>
      <c r="H80" s="222">
        <f t="shared" si="34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ref="F81" si="35">C81*(E81-D81)</f>
        <v>-14922.88</v>
      </c>
      <c r="G81" s="39">
        <f t="shared" ref="G81" si="36">D81*C81</f>
        <v>59502.879999999997</v>
      </c>
      <c r="H81" s="222">
        <f t="shared" ref="H81" si="37">(E81-D81)/D81</f>
        <v>-0.25079256667912547</v>
      </c>
      <c r="I81" s="39"/>
      <c r="J81" s="39"/>
      <c r="K81" s="39">
        <v>-13175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ref="F82" si="38">C82*(E82-D82)</f>
        <v>-12982.879999999994</v>
      </c>
      <c r="G82" s="39">
        <f t="shared" ref="G82" si="39">D82*C82</f>
        <v>59502.879999999997</v>
      </c>
      <c r="H82" s="222">
        <f t="shared" ref="H82" si="40">(E82-D82)/D82</f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ref="F83" si="41">C83*(E83-D83)</f>
        <v>-10943.942999999997</v>
      </c>
      <c r="G83" s="39">
        <f t="shared" ref="G83" si="42">D83*C83</f>
        <v>57075.942999999999</v>
      </c>
      <c r="H83" s="222">
        <f t="shared" ref="H83" si="43">(E83-D83)/D83</f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ref="F84" si="44">C84*(E84-D84)</f>
        <v>-8839.9999999999964</v>
      </c>
      <c r="G84" s="39">
        <f t="shared" ref="G84" si="45">D84*C84</f>
        <v>59400</v>
      </c>
      <c r="H84" s="222">
        <f t="shared" ref="H84" si="46">(E84-D84)/D84</f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ref="F85" si="47">C85*(E85-D85)</f>
        <v>-14325.999999999993</v>
      </c>
      <c r="G85" s="39">
        <f t="shared" ref="G85" si="48">D85*C85</f>
        <v>59166</v>
      </c>
      <c r="H85" s="222">
        <f t="shared" ref="H85" si="49">(E85-D85)/D85</f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ref="F86" si="50">C86*(E86-D86)</f>
        <v>-16722.480000000003</v>
      </c>
      <c r="G86" s="39">
        <f t="shared" ref="G86" si="51">D86*C86</f>
        <v>67314.48</v>
      </c>
      <c r="H86" s="222">
        <f t="shared" ref="H86" si="52">(E86-D86)/D86</f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ref="F87" si="53">C87*(E87-D87)</f>
        <v>-16623.999999999996</v>
      </c>
      <c r="G87" s="39">
        <f t="shared" ref="G87" si="54">D87*C87</f>
        <v>58894</v>
      </c>
      <c r="H87" s="222">
        <f t="shared" ref="H87" si="55">(E87-D87)/D87</f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ref="F88" si="56">C88*(E88-D88)</f>
        <v>-16013.999999999996</v>
      </c>
      <c r="G88" s="39">
        <f t="shared" ref="G88" si="57">D88*C88</f>
        <v>58894</v>
      </c>
      <c r="H88" s="222">
        <f t="shared" ref="H88" si="58">(E88-D88)/D88</f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ref="F89:F90" si="59">C89*(E89-D89)</f>
        <v>-18460.640000000003</v>
      </c>
      <c r="G89" s="39">
        <f t="shared" ref="G89:G90" si="60">D89*C89</f>
        <v>62944.639999999999</v>
      </c>
      <c r="H89" s="222">
        <f t="shared" ref="H89:H90" si="61">(E89-D89)/D89</f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59"/>
        <v>-17704</v>
      </c>
      <c r="G90" s="39">
        <f t="shared" si="60"/>
        <v>58824</v>
      </c>
      <c r="H90" s="222">
        <f t="shared" si="61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ref="F91" si="62">C91*(E91-D91)</f>
        <v>-16223.999999999996</v>
      </c>
      <c r="G91" s="39">
        <f t="shared" ref="G91" si="63">D91*C91</f>
        <v>58824</v>
      </c>
      <c r="H91" s="222">
        <f t="shared" ref="H91" si="64">(E91-D91)/D91</f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ref="F92" si="65">C92*(E92-D92)</f>
        <v>-16123.999999999995</v>
      </c>
      <c r="G92" s="39">
        <f t="shared" ref="G92" si="66">D92*C92</f>
        <v>58824</v>
      </c>
      <c r="H92" s="222">
        <f t="shared" ref="H92" si="67">(E92-D92)/D92</f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ref="F93" si="68">C93*(E93-D93)</f>
        <v>-14664.000000000002</v>
      </c>
      <c r="G93" s="39">
        <f t="shared" ref="G93" si="69">D93*C93</f>
        <v>58824</v>
      </c>
      <c r="H93" s="222">
        <f t="shared" ref="H93" si="70">(E93-D93)/D93</f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ref="F94" si="71">C94*(E94-D94)</f>
        <v>-12171.6</v>
      </c>
      <c r="G94" s="39">
        <f t="shared" ref="G94" si="72">D94*C94</f>
        <v>54309.599999999999</v>
      </c>
      <c r="H94" s="222">
        <f t="shared" ref="H94" si="73">(E94-D94)/D94</f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ref="F95" si="74">C95*(E95-D95)</f>
        <v>-6716.6999999999953</v>
      </c>
      <c r="G95" s="39">
        <f t="shared" ref="G95" si="75">D95*C95</f>
        <v>51664.7</v>
      </c>
      <c r="H95" s="222">
        <f t="shared" ref="H95" si="76">(E95-D95)/D95</f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ref="F96" si="77">C96*(E96-D96)</f>
        <v>-5628.8000000000011</v>
      </c>
      <c r="G96" s="39">
        <f t="shared" ref="G96" si="78">D96*C96</f>
        <v>48956.799999999996</v>
      </c>
      <c r="H96" s="222">
        <f t="shared" ref="H96" si="79">(E96-D96)/D96</f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ref="F97" si="80">C97*(E97-D97)</f>
        <v>-7635.0399999999981</v>
      </c>
      <c r="G97" s="39">
        <f t="shared" ref="G97" si="81">D97*C97</f>
        <v>48707.040000000001</v>
      </c>
      <c r="H97" s="222">
        <f t="shared" ref="H97" si="82">(E97-D97)/D97</f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ref="F98" si="83">C98*(E98-D98)</f>
        <v>-6019.0400000000009</v>
      </c>
      <c r="G98" s="39">
        <f t="shared" ref="G98" si="84">D98*C98</f>
        <v>48707.040000000001</v>
      </c>
      <c r="H98" s="222">
        <f t="shared" ref="H98" si="85">(E98-D98)/D98</f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ref="F99" si="86">C99*(E99-D99)</f>
        <v>-5426.9999999999982</v>
      </c>
      <c r="G99" s="39">
        <f t="shared" ref="G99" si="87">D99*C99</f>
        <v>46002</v>
      </c>
      <c r="H99" s="222">
        <f t="shared" ref="H99" si="88">(E99-D99)/D99</f>
        <v>-0.11797313160297374</v>
      </c>
      <c r="I99" s="193" t="s">
        <v>774</v>
      </c>
      <c r="J99" s="39"/>
      <c r="K99" s="39">
        <v>-3679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ref="F100" si="89">C100*(E100-D100)</f>
        <v>-5021.7999999999993</v>
      </c>
      <c r="G100" s="39">
        <f t="shared" ref="G100" si="90">D100*C100</f>
        <v>43269.8</v>
      </c>
      <c r="H100" s="222">
        <f t="shared" ref="H100" si="91">(E100-D100)/D100</f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ref="F101" si="92">C101*(E101-D101)</f>
        <v>-3724.4999999999982</v>
      </c>
      <c r="G101" s="39">
        <f t="shared" ref="G101" si="93">D101*C101</f>
        <v>40449.5</v>
      </c>
      <c r="H101" s="222">
        <f t="shared" ref="H101" si="94">(E101-D101)/D101</f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ref="F102" si="95">C102*(E102-D102)</f>
        <v>-4290.9999999999964</v>
      </c>
      <c r="G102" s="39">
        <f t="shared" ref="G102" si="96">D102*C102</f>
        <v>43211</v>
      </c>
      <c r="H102" s="222">
        <f t="shared" ref="H102" si="97">(E102-D102)/D102</f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" si="98">C103*(E103-D103)</f>
        <v>-3612.7</v>
      </c>
      <c r="G103" s="39">
        <f t="shared" ref="G103" si="99">D103*C103</f>
        <v>40402.700000000004</v>
      </c>
      <c r="H103" s="222">
        <f t="shared" ref="H103" si="100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ref="F104" si="101">C104*(E104-D104)</f>
        <v>-4197.6999999999989</v>
      </c>
      <c r="G104" s="39">
        <f t="shared" ref="G104" si="102">D104*C104</f>
        <v>40402.700000000004</v>
      </c>
      <c r="H104" s="222">
        <f t="shared" ref="H104" si="103">(E104-D104)/D104</f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ref="F105" si="104">C105*(E105-D105)</f>
        <v>-5158.5</v>
      </c>
      <c r="G105" s="39">
        <f t="shared" ref="G105" si="105">D105*C105</f>
        <v>45823.5</v>
      </c>
      <c r="H105" s="222">
        <f t="shared" ref="H105" si="106">(E105-D105)/D105</f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ref="F106" si="107">C106*(E106-D106)</f>
        <v>-5729.0000000000018</v>
      </c>
      <c r="G106" s="39">
        <f t="shared" ref="G106" si="108">D106*C106</f>
        <v>51170</v>
      </c>
      <c r="H106" s="222">
        <f t="shared" ref="H106" si="109">(E106-D106)/D106</f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ref="F107" si="110">C107*(E107-D107)</f>
        <v>-4686.5000000000009</v>
      </c>
      <c r="G107" s="39">
        <f t="shared" ref="G107" si="111">D107*C107</f>
        <v>40202.5</v>
      </c>
      <c r="H107" s="222">
        <f t="shared" ref="H107" si="112">(E107-D107)/D107</f>
        <v>-0.1165723524656427</v>
      </c>
      <c r="I107" s="39"/>
      <c r="J107" s="39"/>
      <c r="K107" s="39">
        <v>-2938</v>
      </c>
      <c r="L107" s="39"/>
      <c r="M107" t="s">
        <v>848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ref="F108" si="113">C108*(E108-D108)</f>
        <v>-3841.5000000000023</v>
      </c>
      <c r="G108" s="39">
        <f t="shared" ref="G108" si="114">D108*C108</f>
        <v>40202.5</v>
      </c>
      <c r="H108" s="222">
        <f t="shared" ref="H108" si="115">(E108-D108)/D108</f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ref="F109" si="116">C109*(E109-D109)</f>
        <v>-3578.9</v>
      </c>
      <c r="G109" s="39">
        <f t="shared" ref="G109" si="117">D109*C109</f>
        <v>40160.9</v>
      </c>
      <c r="H109" s="222">
        <f t="shared" ref="H109" si="118">(E109-D109)/D109</f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ref="F110" si="119">C110*(E110-D110)</f>
        <v>-2889.8999999999987</v>
      </c>
      <c r="G110" s="39">
        <f t="shared" ref="G110" si="120">D110*C110</f>
        <v>40160.9</v>
      </c>
      <c r="H110" s="222">
        <f t="shared" ref="H110" si="121">(E110-D110)/D110</f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ref="F111" si="122">C111*(E111-D111)</f>
        <v>-1500</v>
      </c>
      <c r="G111" s="39">
        <f t="shared" ref="G111" si="123">D111*C111</f>
        <v>31220</v>
      </c>
      <c r="H111" s="222">
        <f t="shared" ref="H111" si="124">(E111-D111)/D111</f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ref="F112" si="125">C112*(E112-D112)</f>
        <v>-1485.6400000000015</v>
      </c>
      <c r="G112" s="39">
        <f t="shared" ref="G112" si="126">D112*C112</f>
        <v>40004.639999999999</v>
      </c>
      <c r="H112" s="222">
        <f t="shared" ref="H112" si="127">(E112-D112)/D112</f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ref="F113:F114" si="128">C113*(E113-D113)</f>
        <v>-1901.6400000000019</v>
      </c>
      <c r="G113" s="39">
        <f t="shared" ref="G113:G114" si="129">D113*C113</f>
        <v>40004.639999999999</v>
      </c>
      <c r="H113" s="222">
        <f t="shared" ref="H113:H114" si="130">(E113-D113)/D113</f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28"/>
        <v>-594.99999999999886</v>
      </c>
      <c r="G114" s="39">
        <f t="shared" si="129"/>
        <v>30855</v>
      </c>
      <c r="H114" s="222">
        <f t="shared" si="130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ref="F115" si="131">C115*(E115-D115)</f>
        <v>9.055999999998221</v>
      </c>
      <c r="G115" s="39">
        <f t="shared" ref="G115" si="132">D115*C115</f>
        <v>24694.944</v>
      </c>
      <c r="H115" s="222">
        <f t="shared" ref="H115" si="133">(E115-D115)/D115</f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ref="F116" si="134">C116*(E116-D116)</f>
        <v>-350.99999999999943</v>
      </c>
      <c r="G116" s="39">
        <f t="shared" ref="G116" si="135">D116*C116</f>
        <v>39819</v>
      </c>
      <c r="H116" s="222">
        <f t="shared" ref="H116" si="136">(E116-D116)/D116</f>
        <v>-8.8148873653280963E-3</v>
      </c>
      <c r="I116" s="39"/>
      <c r="J116" s="39"/>
      <c r="K116" s="39">
        <v>1253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ref="F117" si="137">C117*(E117-D117)</f>
        <v>-1669.4999999999993</v>
      </c>
      <c r="G117" s="39">
        <f t="shared" ref="G117" si="138">D117*C117</f>
        <v>45679.5</v>
      </c>
      <c r="H117" s="222">
        <f t="shared" ref="H117" si="139">(E117-D117)/D117</f>
        <v>-3.6548123337602191E-2</v>
      </c>
      <c r="I117" s="193" t="s">
        <v>919</v>
      </c>
      <c r="J117" s="39"/>
      <c r="K117" s="39">
        <v>78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ref="F118" si="140">C118*(E118-D118)</f>
        <v>-1602.0000000000009</v>
      </c>
      <c r="G118" s="39">
        <f t="shared" ref="G118" si="141">D118*C118</f>
        <v>53928</v>
      </c>
      <c r="H118" s="222">
        <f t="shared" ref="H118" si="142">(E118-D118)/D118</f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ref="F119" si="143">C119*(E119-D119)</f>
        <v>-4302.0000000000009</v>
      </c>
      <c r="G119" s="39">
        <f t="shared" ref="G119" si="144">D119*C119</f>
        <v>53928</v>
      </c>
      <c r="H119" s="222">
        <f t="shared" ref="H119" si="145">(E119-D119)/D119</f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ref="F120" si="146">C120*(E120-D120)</f>
        <v>-2106.0000000000032</v>
      </c>
      <c r="G120" s="39">
        <f t="shared" ref="G120" si="147">D120*C120</f>
        <v>53928</v>
      </c>
      <c r="H120" s="222">
        <f t="shared" ref="H120" si="148">(E120-D120)/D120</f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ref="F121" si="149">C121*(E121-D121)</f>
        <v>-4446.0000000000045</v>
      </c>
      <c r="G121" s="39">
        <f t="shared" ref="G121" si="150">D121*C121</f>
        <v>53928</v>
      </c>
      <c r="H121" s="222">
        <f t="shared" ref="H121" si="151">(E121-D121)/D121</f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ref="F122" si="152">C122*(E122-D122)</f>
        <v>-3286.7999999999947</v>
      </c>
      <c r="G122" s="39">
        <f t="shared" ref="G122" si="153">D122*C122</f>
        <v>53704.799999999996</v>
      </c>
      <c r="H122" s="222">
        <f t="shared" ref="H122" si="154">(E122-D122)/D122</f>
        <v>-6.1201233409304098E-2</v>
      </c>
      <c r="I122" s="39"/>
      <c r="J122" s="39"/>
      <c r="K122" s="39">
        <v>-1539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ref="F123" si="155">C123*(E123-D123)</f>
        <v>-5780.0000000000009</v>
      </c>
      <c r="G123" s="39">
        <f t="shared" ref="G123" si="156">D123*C123</f>
        <v>58960</v>
      </c>
      <c r="H123" s="222">
        <f t="shared" ref="H123" si="157">(E123-D123)/D123</f>
        <v>-9.803256445047491E-2</v>
      </c>
      <c r="I123" s="39"/>
      <c r="J123" s="39"/>
      <c r="K123" s="39">
        <v>-4653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ref="F124" si="158">C124*(E124-D124)</f>
        <v>-13344.599999999999</v>
      </c>
      <c r="G124" s="39">
        <f t="shared" ref="G124" si="159">D124*C124</f>
        <v>66198.600000000006</v>
      </c>
      <c r="H124" s="222">
        <f t="shared" ref="H124" si="160">(E124-D124)/D124</f>
        <v>-0.20158432353554304</v>
      </c>
      <c r="I124" s="39"/>
      <c r="J124" s="39"/>
      <c r="K124" s="39"/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ref="F125" si="161">C125*(E125-D125)</f>
        <v>-13365</v>
      </c>
      <c r="G125" s="39">
        <f t="shared" ref="G125" si="162">D125*C125</f>
        <v>70815</v>
      </c>
      <c r="H125" s="222">
        <f t="shared" ref="H125" si="163">(E125-D125)/D125</f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ref="F126" si="164">C126*(E126-D126)</f>
        <v>-13349.999999999998</v>
      </c>
      <c r="G126" s="39">
        <f t="shared" ref="G126" si="165">D126*C126</f>
        <v>82290</v>
      </c>
      <c r="H126" s="222">
        <f t="shared" ref="H126" si="166">(E126-D126)/D126</f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ref="F127" si="167">C127*(E127-D127)</f>
        <v>-10050.000000000004</v>
      </c>
      <c r="G127" s="39">
        <f t="shared" ref="G127" si="168">D127*C127</f>
        <v>82290</v>
      </c>
      <c r="H127" s="222">
        <f t="shared" ref="H127" si="169">(E127-D127)/D127</f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ref="F128" si="170">C128*(E128-D128)</f>
        <v>-11618.999999999993</v>
      </c>
      <c r="G128" s="39">
        <f t="shared" ref="G128" si="171">D128*C128</f>
        <v>81459</v>
      </c>
      <c r="H128" s="222">
        <f t="shared" ref="H128" si="172">(E128-D128)/D128</f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ref="F129" si="173">C129*(E129-D129)</f>
        <v>-9646</v>
      </c>
      <c r="G129" s="39">
        <f t="shared" ref="G129" si="174">D129*C129</f>
        <v>76678</v>
      </c>
      <c r="H129" s="222">
        <f t="shared" ref="H129" si="175">(E129-D129)/D129</f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ref="F130" si="176">C130*(E130-D130)</f>
        <v>-9250.0000000000073</v>
      </c>
      <c r="G130" s="39">
        <f t="shared" ref="G130" si="177">D130*C130</f>
        <v>69450</v>
      </c>
      <c r="H130" s="222">
        <f t="shared" ref="H130" si="178">(E130-D130)/D130</f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ref="F131" si="179">C131*(E131-D131)</f>
        <v>-10025.000000000004</v>
      </c>
      <c r="G131" s="39">
        <f t="shared" ref="G131" si="180">D131*C131</f>
        <v>69450</v>
      </c>
      <c r="H131" s="222">
        <f t="shared" ref="H131" si="181">(E131-D131)/D131</f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ref="F132" si="182">C132*(E132-D132)</f>
        <v>-7954.0000000000009</v>
      </c>
      <c r="G132" s="39">
        <f t="shared" ref="G132" si="183">D132*C132</f>
        <v>57114</v>
      </c>
      <c r="H132" s="222">
        <f t="shared" ref="H132" si="184">(E132-D132)/D132</f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ref="F133" si="185">C133*(E133-D133)</f>
        <v>-8754.9999999999964</v>
      </c>
      <c r="G133" s="39">
        <f t="shared" ref="G133" si="186">D133*C133</f>
        <v>69205</v>
      </c>
      <c r="H133" s="222">
        <f t="shared" ref="H133" si="187">(E133-D133)/D133</f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ref="F134" si="188">C134*(E134-D134)</f>
        <v>-7005.2000000000025</v>
      </c>
      <c r="G134" s="39">
        <f t="shared" ref="G134" si="189">D134*C134</f>
        <v>56765.2</v>
      </c>
      <c r="H134" s="222">
        <f t="shared" ref="H134" si="190">(E134-D134)/D134</f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" si="191">C135*(E135-D135)</f>
        <v>-8205</v>
      </c>
      <c r="G135" s="39">
        <f t="shared" ref="G135" si="192">D135*C135</f>
        <v>68905</v>
      </c>
      <c r="H135" s="222">
        <f t="shared" ref="H135" si="193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ref="F136" si="194">C136*(E136-D136)</f>
        <v>-6930.0000000000045</v>
      </c>
      <c r="G136" s="39">
        <f t="shared" ref="G136" si="195">D136*C136</f>
        <v>61468</v>
      </c>
      <c r="H136" s="222">
        <f t="shared" ref="H136" si="196">(E136-D136)/D136</f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ref="F137" si="197">C137*(E137-D137)</f>
        <v>-5678</v>
      </c>
      <c r="G137" s="39">
        <f t="shared" ref="G137" si="198">D137*C137</f>
        <v>48824</v>
      </c>
      <c r="H137" s="222">
        <f t="shared" ref="H137" si="199">(E137-D137)/D137</f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ref="F138" si="200">C138*(E138-D138)</f>
        <v>-5867.9999999999982</v>
      </c>
      <c r="G138" s="39">
        <f t="shared" ref="G138" si="201">D138*C138</f>
        <v>43653</v>
      </c>
      <c r="H138" s="222">
        <f t="shared" ref="H138" si="202">(E138-D138)/D138</f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ref="F139" si="203">C139*(E139-D139)</f>
        <v>-5909.1999999999989</v>
      </c>
      <c r="G139" s="39">
        <f t="shared" ref="G139" si="204">D139*C139</f>
        <v>48732.2</v>
      </c>
      <c r="H139" s="222">
        <f t="shared" ref="H139" si="205">(E139-D139)/D139</f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ref="F140" si="206">C140*(E140-D140)</f>
        <v>-6607.9999999999973</v>
      </c>
      <c r="G140" s="39">
        <f t="shared" ref="G140" si="207">D140*C140</f>
        <v>56128</v>
      </c>
      <c r="H140" s="222">
        <f t="shared" ref="H140" si="208">(E140-D140)/D140</f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ref="F141" si="209">C141*(E141-D141)</f>
        <v>-7839.9999999999964</v>
      </c>
      <c r="G141" s="39">
        <f t="shared" ref="G141" si="210">D141*C141</f>
        <v>56120</v>
      </c>
      <c r="H141" s="222">
        <f t="shared" ref="H141" si="211">(E141-D141)/D141</f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ref="F142:F143" si="212">C142*(E142-D142)</f>
        <v>-6979.9999999999973</v>
      </c>
      <c r="G142" s="39">
        <f t="shared" ref="G142:G143" si="213">D142*C142</f>
        <v>56120</v>
      </c>
      <c r="H142" s="222">
        <f t="shared" ref="H142:H143" si="214">(E142-D142)/D142</f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212"/>
        <v>-5384</v>
      </c>
      <c r="G143" s="39">
        <f t="shared" si="213"/>
        <v>55984</v>
      </c>
      <c r="H143" s="222">
        <f t="shared" si="214"/>
        <v>-9.617033438125179E-2</v>
      </c>
      <c r="I143" s="39"/>
      <c r="J143" s="39"/>
      <c r="K143" s="39">
        <v>-3636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ref="F144" si="215">C144*(E144-D144)</f>
        <v>-6204.0000000000009</v>
      </c>
      <c r="G144" s="39">
        <f t="shared" ref="G144" si="216">D144*C144</f>
        <v>55984</v>
      </c>
      <c r="H144" s="222">
        <f t="shared" ref="H144" si="217">(E144-D144)/D144</f>
        <v>-0.11081737639325523</v>
      </c>
      <c r="I144" s="39"/>
      <c r="J144" s="39"/>
      <c r="K144" s="39">
        <v>-4456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ref="F145:F146" si="218">C145*(E145-D145)</f>
        <v>-6444.0000000000027</v>
      </c>
      <c r="G145" s="39">
        <f t="shared" ref="G145:G146" si="219">D145*C145</f>
        <v>55984</v>
      </c>
      <c r="H145" s="222">
        <f t="shared" ref="H145:H146" si="220">(E145-D145)/D145</f>
        <v>-0.11510431551871968</v>
      </c>
      <c r="I145" s="39"/>
      <c r="J145" s="39"/>
      <c r="K145" s="39">
        <v>-4696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218"/>
        <v>-6841.9999999999991</v>
      </c>
      <c r="G146" s="39">
        <f t="shared" si="219"/>
        <v>60896</v>
      </c>
      <c r="H146" s="222">
        <f t="shared" si="220"/>
        <v>-0.11235549132947975</v>
      </c>
      <c r="I146" s="39"/>
      <c r="J146" s="39"/>
      <c r="K146" s="39">
        <v>-5096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ref="F147:F150" si="221">C147*(E147-D147)</f>
        <v>-6923.3999999999969</v>
      </c>
      <c r="G147" s="39">
        <f t="shared" ref="G147:G150" si="222">D147*C147</f>
        <v>60647.4</v>
      </c>
      <c r="H147" s="222">
        <f t="shared" ref="H147:H150" si="223">(E147-D147)/D147</f>
        <v>-0.11415823266949608</v>
      </c>
      <c r="I147" s="39"/>
      <c r="J147" s="39"/>
      <c r="K147" s="39">
        <v>-5176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221"/>
        <v>-4856.0000000000018</v>
      </c>
      <c r="G148" s="39">
        <f t="shared" si="222"/>
        <v>55576</v>
      </c>
      <c r="H148" s="222">
        <f t="shared" si="223"/>
        <v>-8.7375845688786549E-2</v>
      </c>
      <c r="I148" s="39"/>
      <c r="J148" s="39"/>
      <c r="K148" s="39">
        <v>-3108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221"/>
        <v>-3471</v>
      </c>
      <c r="G149" s="39">
        <f t="shared" si="222"/>
        <v>42486</v>
      </c>
      <c r="H149" s="222">
        <f t="shared" si="223"/>
        <v>-8.1697500353057478E-2</v>
      </c>
      <c r="I149" s="840" t="s">
        <v>1131</v>
      </c>
      <c r="J149" s="39"/>
      <c r="K149" s="39">
        <v>-1723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221"/>
        <v>-3644.1640000000007</v>
      </c>
      <c r="G150" s="39">
        <f t="shared" si="222"/>
        <v>48157.763999999996</v>
      </c>
      <c r="H150" s="222">
        <f t="shared" si="223"/>
        <v>-7.5671370456485504E-2</v>
      </c>
      <c r="I150" s="39"/>
      <c r="J150" s="39"/>
      <c r="K150" s="39">
        <v>-1896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ref="F151" si="224">C151*(E151-D151)</f>
        <v>-3383.4000000000019</v>
      </c>
      <c r="G151" s="39">
        <f t="shared" ref="G151" si="225">D151*C151</f>
        <v>42398.25</v>
      </c>
      <c r="H151" s="222">
        <f t="shared" ref="H151" si="226">(E151-D151)/D151</f>
        <v>-7.9800463462525034E-2</v>
      </c>
      <c r="I151" s="39"/>
      <c r="J151" s="39"/>
      <c r="K151" s="39">
        <v>-1635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ref="F152:F155" si="227">C152*(E152-D152)</f>
        <v>1001.100000000001</v>
      </c>
      <c r="G152" s="39">
        <f t="shared" ref="G152:G155" si="228">D152*C152</f>
        <v>42093.9</v>
      </c>
      <c r="H152" s="222">
        <f t="shared" ref="H152:H155" si="229">(E152-D152)/D152</f>
        <v>2.3782543313876855E-2</v>
      </c>
      <c r="I152" s="39"/>
      <c r="J152" s="39"/>
      <c r="K152" s="39">
        <v>2744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227"/>
        <v>2961.2550000000015</v>
      </c>
      <c r="G153" s="39">
        <f t="shared" si="228"/>
        <v>41573.745000000003</v>
      </c>
      <c r="H153" s="222">
        <f t="shared" si="229"/>
        <v>7.1228969148677879E-2</v>
      </c>
      <c r="I153" s="39"/>
      <c r="J153" s="39"/>
      <c r="K153" s="39">
        <v>4709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227"/>
        <v>1935.0000000000041</v>
      </c>
      <c r="G154" s="39">
        <f t="shared" si="228"/>
        <v>41580</v>
      </c>
      <c r="H154" s="222">
        <f t="shared" si="229"/>
        <v>4.6536796536796633E-2</v>
      </c>
      <c r="I154" s="39"/>
      <c r="J154" s="39"/>
      <c r="K154" s="39">
        <v>3689</v>
      </c>
      <c r="L154" s="39">
        <v>14.15</v>
      </c>
    </row>
    <row r="155" spans="1:12" x14ac:dyDescent="0.25">
      <c r="A155">
        <v>0</v>
      </c>
      <c r="B155" s="184">
        <v>43285</v>
      </c>
      <c r="C155" s="10">
        <v>1500</v>
      </c>
      <c r="D155" s="39">
        <v>27.72</v>
      </c>
      <c r="E155" s="39">
        <v>28.7</v>
      </c>
      <c r="F155" s="39">
        <f t="shared" si="227"/>
        <v>1470.0000000000007</v>
      </c>
      <c r="G155" s="39">
        <f t="shared" si="228"/>
        <v>41580</v>
      </c>
      <c r="H155" s="222">
        <f t="shared" si="229"/>
        <v>3.5353535353535373E-2</v>
      </c>
      <c r="I155" s="39"/>
      <c r="J155" s="39"/>
      <c r="K155" s="39">
        <v>3224</v>
      </c>
      <c r="L155" s="39">
        <v>13.88</v>
      </c>
    </row>
    <row r="156" spans="1:12" x14ac:dyDescent="0.25">
      <c r="A156">
        <v>0</v>
      </c>
      <c r="B156" s="184">
        <v>43288</v>
      </c>
      <c r="C156" s="10">
        <v>1500</v>
      </c>
      <c r="D156" s="39">
        <v>27.72</v>
      </c>
      <c r="E156" s="39">
        <v>29.1</v>
      </c>
      <c r="F156" s="39">
        <f t="shared" ref="F156" si="230">C156*(E156-D156)</f>
        <v>2070.0000000000036</v>
      </c>
      <c r="G156" s="39">
        <f t="shared" ref="G156" si="231">D156*C156</f>
        <v>41580</v>
      </c>
      <c r="H156" s="222">
        <f t="shared" ref="H156" si="232">(E156-D156)/D156</f>
        <v>4.9783549783549881E-2</v>
      </c>
      <c r="I156" s="39"/>
      <c r="J156" s="39"/>
      <c r="K156" s="39">
        <v>3854</v>
      </c>
      <c r="L156" s="39">
        <v>14.03</v>
      </c>
    </row>
    <row r="157" spans="1:12" x14ac:dyDescent="0.25">
      <c r="B157" s="10"/>
      <c r="C157" s="10"/>
      <c r="D157" s="39"/>
      <c r="E157" s="39"/>
      <c r="F157" s="39"/>
      <c r="G157" s="39"/>
      <c r="H157" s="222"/>
      <c r="I157" s="39"/>
      <c r="J157" s="39"/>
      <c r="K157" s="39"/>
      <c r="L157" s="39"/>
    </row>
    <row r="158" spans="1:12" x14ac:dyDescent="0.25">
      <c r="B158" s="10"/>
      <c r="C158" s="10"/>
      <c r="D158" s="39"/>
      <c r="E158" s="39"/>
      <c r="F158" s="39"/>
      <c r="G158" s="39"/>
      <c r="H158" s="222"/>
      <c r="I158" s="39"/>
      <c r="J158" s="39"/>
      <c r="K158" s="39"/>
      <c r="L158" s="39"/>
    </row>
    <row r="159" spans="1:12" x14ac:dyDescent="0.25">
      <c r="B159" s="10"/>
      <c r="C159" s="10"/>
      <c r="D159" s="39"/>
      <c r="E159" s="39"/>
      <c r="F159" s="39"/>
      <c r="G159" s="39"/>
      <c r="H159" s="222"/>
      <c r="I159" s="39"/>
      <c r="J159" s="39"/>
      <c r="K159" s="39"/>
      <c r="L159" s="39"/>
    </row>
    <row r="160" spans="1:12" x14ac:dyDescent="0.25">
      <c r="B160" s="10"/>
      <c r="C160" s="10"/>
      <c r="D160" s="39"/>
      <c r="E160" s="39"/>
      <c r="F160" s="39"/>
      <c r="G160" s="39"/>
      <c r="H160" s="222"/>
      <c r="I160" s="39"/>
      <c r="J160" s="39"/>
      <c r="K160" s="39"/>
      <c r="L160" s="39"/>
    </row>
    <row r="161" spans="2:12" x14ac:dyDescent="0.25">
      <c r="B161" s="10"/>
      <c r="C161" s="10"/>
      <c r="D161" s="39"/>
      <c r="E161" s="39"/>
      <c r="F161" s="39"/>
      <c r="G161" s="39"/>
      <c r="H161" s="222"/>
      <c r="I161" s="39"/>
      <c r="J161" s="39"/>
      <c r="K161" s="39"/>
      <c r="L161" s="39"/>
    </row>
    <row r="162" spans="2:12" x14ac:dyDescent="0.25">
      <c r="B162" s="10"/>
      <c r="C162" s="10"/>
      <c r="D162" s="39"/>
      <c r="E162" s="39"/>
      <c r="F162" s="39"/>
      <c r="G162" s="39"/>
      <c r="H162" s="222"/>
      <c r="I162" s="39"/>
      <c r="J162" s="39"/>
      <c r="K162" s="39"/>
      <c r="L162" s="39"/>
    </row>
    <row r="163" spans="2:12" x14ac:dyDescent="0.25">
      <c r="B163" s="10"/>
      <c r="C163" s="10"/>
      <c r="D163" s="39"/>
      <c r="E163" s="39"/>
      <c r="F163" s="39"/>
      <c r="G163" s="39"/>
      <c r="H163" s="222"/>
      <c r="I163" s="39"/>
      <c r="J163" s="39"/>
      <c r="K163" s="39"/>
      <c r="L163" s="39"/>
    </row>
    <row r="164" spans="2:12" x14ac:dyDescent="0.25">
      <c r="B164" s="10"/>
      <c r="C164" s="10"/>
      <c r="D164" s="39"/>
      <c r="E164" s="39"/>
      <c r="F164" s="39"/>
      <c r="G164" s="39"/>
      <c r="H164" s="222"/>
      <c r="I164" s="39"/>
      <c r="J164" s="39"/>
      <c r="K164" s="39"/>
      <c r="L164" s="39"/>
    </row>
    <row r="165" spans="2:12" x14ac:dyDescent="0.25">
      <c r="B165" s="10"/>
      <c r="C165" s="10"/>
      <c r="D165" s="39"/>
      <c r="E165" s="39"/>
      <c r="F165" s="39"/>
      <c r="G165" s="39"/>
      <c r="H165" s="222"/>
      <c r="I165" s="39"/>
      <c r="J165" s="39"/>
      <c r="K165" s="39"/>
      <c r="L165" s="39"/>
    </row>
    <row r="166" spans="2:12" x14ac:dyDescent="0.25">
      <c r="B166" s="10"/>
      <c r="C166" s="10"/>
      <c r="D166" s="39"/>
      <c r="E166" s="39"/>
      <c r="F166" s="39"/>
      <c r="G166" s="39"/>
      <c r="H166" s="222"/>
      <c r="I166" s="39"/>
      <c r="J166" s="39"/>
      <c r="K166" s="39"/>
      <c r="L166" s="39"/>
    </row>
    <row r="167" spans="2:12" x14ac:dyDescent="0.25">
      <c r="B167" s="10"/>
      <c r="C167" s="10"/>
      <c r="D167" s="39"/>
      <c r="E167" s="39"/>
      <c r="F167" s="39"/>
      <c r="G167" s="39"/>
      <c r="H167" s="222"/>
      <c r="I167" s="39"/>
      <c r="J167" s="39"/>
      <c r="K167" s="39"/>
      <c r="L167" s="39"/>
    </row>
    <row r="169" spans="2:12" x14ac:dyDescent="0.25">
      <c r="B169" s="361">
        <v>42484</v>
      </c>
      <c r="C169" s="362">
        <v>100</v>
      </c>
      <c r="D169" s="363">
        <v>35.917999999999999</v>
      </c>
      <c r="E169" s="363">
        <v>35.58</v>
      </c>
      <c r="F169" s="363">
        <f t="shared" ref="F169:F182" si="233">C169*(E169-D169)</f>
        <v>-33.800000000000097</v>
      </c>
      <c r="G169" s="363">
        <f t="shared" ref="G169:G182" si="234">D169*C169</f>
        <v>3591.7999999999997</v>
      </c>
      <c r="H169" s="364">
        <f t="shared" ref="H169:H182" si="235">(E169-D169)/D169</f>
        <v>-9.410323514672336E-3</v>
      </c>
      <c r="I169" s="363"/>
    </row>
    <row r="170" spans="2:12" x14ac:dyDescent="0.25">
      <c r="B170" s="361">
        <v>42485</v>
      </c>
      <c r="C170" s="362">
        <v>100</v>
      </c>
      <c r="D170" s="363">
        <v>35.917999999999999</v>
      </c>
      <c r="E170" s="363">
        <v>36.770000000000003</v>
      </c>
      <c r="F170" s="363">
        <f t="shared" si="233"/>
        <v>85.200000000000387</v>
      </c>
      <c r="G170" s="363">
        <f t="shared" si="234"/>
        <v>3591.7999999999997</v>
      </c>
      <c r="H170" s="364">
        <f t="shared" si="235"/>
        <v>2.3720697143493622E-2</v>
      </c>
      <c r="I170" s="363"/>
    </row>
    <row r="171" spans="2:12" x14ac:dyDescent="0.25">
      <c r="B171" s="361">
        <v>42498</v>
      </c>
      <c r="C171" s="362">
        <v>100</v>
      </c>
      <c r="D171" s="363">
        <v>35.917999999999999</v>
      </c>
      <c r="E171" s="363">
        <v>34.549999999999997</v>
      </c>
      <c r="F171" s="363">
        <f t="shared" si="233"/>
        <v>-136.80000000000021</v>
      </c>
      <c r="G171" s="363">
        <f t="shared" si="234"/>
        <v>3591.7999999999997</v>
      </c>
      <c r="H171" s="364">
        <f t="shared" si="235"/>
        <v>-3.8086753159975562E-2</v>
      </c>
      <c r="I171" s="363"/>
    </row>
    <row r="172" spans="2:12" x14ac:dyDescent="0.25">
      <c r="B172" s="361">
        <v>42508</v>
      </c>
      <c r="C172" s="362">
        <v>140</v>
      </c>
      <c r="D172" s="363">
        <v>35.423999999999999</v>
      </c>
      <c r="E172" s="363">
        <v>34.369999999999997</v>
      </c>
      <c r="F172" s="363">
        <f t="shared" si="233"/>
        <v>-147.56000000000029</v>
      </c>
      <c r="G172" s="363">
        <f t="shared" si="234"/>
        <v>4959.3599999999997</v>
      </c>
      <c r="H172" s="364">
        <f t="shared" si="235"/>
        <v>-2.9753839205058776E-2</v>
      </c>
      <c r="I172" s="363"/>
    </row>
    <row r="173" spans="2:12" x14ac:dyDescent="0.25">
      <c r="B173" s="361">
        <v>42509</v>
      </c>
      <c r="C173" s="362">
        <v>240</v>
      </c>
      <c r="D173" s="363">
        <v>35.034999999999997</v>
      </c>
      <c r="E173" s="363">
        <v>34.83</v>
      </c>
      <c r="F173" s="363">
        <f t="shared" si="233"/>
        <v>-49.199999999999591</v>
      </c>
      <c r="G173" s="363">
        <f t="shared" si="234"/>
        <v>8408.4</v>
      </c>
      <c r="H173" s="364">
        <f t="shared" si="235"/>
        <v>-5.8512915655772315E-3</v>
      </c>
      <c r="I173" s="363"/>
    </row>
    <row r="174" spans="2:12" x14ac:dyDescent="0.25">
      <c r="B174" s="361">
        <v>42514</v>
      </c>
      <c r="C174" s="362">
        <v>200</v>
      </c>
      <c r="D174" s="363">
        <v>34.972000000000001</v>
      </c>
      <c r="E174" s="363">
        <v>35.520000000000003</v>
      </c>
      <c r="F174" s="363">
        <f t="shared" si="233"/>
        <v>109.60000000000036</v>
      </c>
      <c r="G174" s="363">
        <f t="shared" si="234"/>
        <v>6994.4000000000005</v>
      </c>
      <c r="H174" s="364">
        <f t="shared" si="235"/>
        <v>1.5669678600022927E-2</v>
      </c>
      <c r="I174" s="363"/>
    </row>
    <row r="175" spans="2:12" x14ac:dyDescent="0.25">
      <c r="B175" s="361">
        <v>42515</v>
      </c>
      <c r="C175" s="362">
        <v>200</v>
      </c>
      <c r="D175" s="363">
        <v>34.972000000000001</v>
      </c>
      <c r="E175" s="363">
        <v>34.94</v>
      </c>
      <c r="F175" s="363">
        <f t="shared" si="233"/>
        <v>-6.4000000000007162</v>
      </c>
      <c r="G175" s="363">
        <f t="shared" si="234"/>
        <v>6994.4000000000005</v>
      </c>
      <c r="H175" s="364">
        <f t="shared" si="235"/>
        <v>-9.150177284685914E-4</v>
      </c>
      <c r="I175" s="363"/>
    </row>
    <row r="176" spans="2:12" x14ac:dyDescent="0.25">
      <c r="B176" s="361">
        <v>42521</v>
      </c>
      <c r="C176" s="362">
        <v>160</v>
      </c>
      <c r="D176" s="363">
        <v>34.718000000000004</v>
      </c>
      <c r="E176" s="363">
        <v>35.76</v>
      </c>
      <c r="F176" s="363">
        <f t="shared" si="233"/>
        <v>166.71999999999912</v>
      </c>
      <c r="G176" s="363">
        <f t="shared" si="234"/>
        <v>5554.880000000001</v>
      </c>
      <c r="H176" s="364">
        <f t="shared" si="235"/>
        <v>3.0013249611152554E-2</v>
      </c>
      <c r="I176" s="363"/>
    </row>
    <row r="177" spans="2:9" x14ac:dyDescent="0.25">
      <c r="B177" s="361">
        <v>42527</v>
      </c>
      <c r="C177" s="362">
        <v>160</v>
      </c>
      <c r="D177" s="363">
        <v>34.652000000000001</v>
      </c>
      <c r="E177" s="363">
        <v>36.020000000000003</v>
      </c>
      <c r="F177" s="363">
        <f t="shared" si="233"/>
        <v>218.88000000000034</v>
      </c>
      <c r="G177" s="363">
        <f t="shared" si="234"/>
        <v>5544.32</v>
      </c>
      <c r="H177" s="364">
        <f t="shared" si="235"/>
        <v>3.9478240794182211E-2</v>
      </c>
      <c r="I177" s="363"/>
    </row>
    <row r="178" spans="2:9" x14ac:dyDescent="0.25">
      <c r="B178" s="361">
        <v>42498</v>
      </c>
      <c r="C178" s="362">
        <v>160</v>
      </c>
      <c r="D178" s="363">
        <v>34.652000000000001</v>
      </c>
      <c r="E178" s="363">
        <v>36.520000000000003</v>
      </c>
      <c r="F178" s="363">
        <f t="shared" si="233"/>
        <v>298.88000000000034</v>
      </c>
      <c r="G178" s="363">
        <f t="shared" si="234"/>
        <v>5544.32</v>
      </c>
      <c r="H178" s="364">
        <f t="shared" si="235"/>
        <v>5.3907422371003176E-2</v>
      </c>
      <c r="I178" s="363"/>
    </row>
    <row r="179" spans="2:9" x14ac:dyDescent="0.25">
      <c r="B179" s="361">
        <v>42531</v>
      </c>
      <c r="C179" s="362">
        <v>60</v>
      </c>
      <c r="D179" s="363">
        <v>30.757000000000001</v>
      </c>
      <c r="E179" s="363">
        <v>36.81</v>
      </c>
      <c r="F179" s="363">
        <f t="shared" si="233"/>
        <v>363.18000000000006</v>
      </c>
      <c r="G179" s="363">
        <f t="shared" si="234"/>
        <v>1845.42</v>
      </c>
      <c r="H179" s="364">
        <f t="shared" si="235"/>
        <v>0.1968007282894951</v>
      </c>
      <c r="I179" s="363"/>
    </row>
    <row r="180" spans="2:9" x14ac:dyDescent="0.25">
      <c r="B180" s="361">
        <v>42536</v>
      </c>
      <c r="C180" s="362">
        <v>160</v>
      </c>
      <c r="D180" s="363">
        <v>33.652999999999999</v>
      </c>
      <c r="E180" s="363">
        <v>35.71</v>
      </c>
      <c r="F180" s="363">
        <f t="shared" si="233"/>
        <v>329.12000000000035</v>
      </c>
      <c r="G180" s="363">
        <f t="shared" si="234"/>
        <v>5384.48</v>
      </c>
      <c r="H180" s="364">
        <f t="shared" si="235"/>
        <v>6.1123822541823976E-2</v>
      </c>
      <c r="I180" s="363"/>
    </row>
    <row r="181" spans="2:9" x14ac:dyDescent="0.25">
      <c r="B181" s="361">
        <v>42542</v>
      </c>
      <c r="C181" s="362">
        <v>160</v>
      </c>
      <c r="D181" s="363">
        <v>33.65</v>
      </c>
      <c r="E181" s="363">
        <v>34.71</v>
      </c>
      <c r="F181" s="363">
        <f t="shared" si="233"/>
        <v>169.60000000000036</v>
      </c>
      <c r="G181" s="363">
        <f t="shared" si="234"/>
        <v>5384</v>
      </c>
      <c r="H181" s="364">
        <f t="shared" si="235"/>
        <v>3.1500742942050589E-2</v>
      </c>
      <c r="I181" s="363"/>
    </row>
    <row r="182" spans="2:9" x14ac:dyDescent="0.25">
      <c r="B182" s="361">
        <v>42548</v>
      </c>
      <c r="C182" s="362">
        <v>160</v>
      </c>
      <c r="D182" s="363">
        <v>33.652999999999999</v>
      </c>
      <c r="E182" s="363">
        <v>36.619999999999997</v>
      </c>
      <c r="F182" s="363">
        <f t="shared" si="233"/>
        <v>474.7199999999998</v>
      </c>
      <c r="G182" s="363">
        <f t="shared" si="234"/>
        <v>5384.48</v>
      </c>
      <c r="H182" s="364">
        <f t="shared" si="235"/>
        <v>8.8164502421775148E-2</v>
      </c>
      <c r="I182" s="363"/>
    </row>
    <row r="183" spans="2:9" x14ac:dyDescent="0.25">
      <c r="B183" s="361">
        <v>42556</v>
      </c>
      <c r="C183" s="362">
        <v>160</v>
      </c>
      <c r="D183" s="363">
        <v>33.652999999999999</v>
      </c>
      <c r="E183" s="363">
        <v>37.33</v>
      </c>
      <c r="F183" s="363">
        <f t="shared" ref="F183:F225" si="236">C183*(E183-D183)</f>
        <v>588.31999999999994</v>
      </c>
      <c r="G183" s="363">
        <f t="shared" ref="G183:G196" si="237">D183*C183</f>
        <v>5384.48</v>
      </c>
      <c r="H183" s="364">
        <f t="shared" ref="H183:H225" si="238">(E183-D183)/D183</f>
        <v>0.10926217573470418</v>
      </c>
      <c r="I183" s="363"/>
    </row>
    <row r="184" spans="2:9" x14ac:dyDescent="0.25">
      <c r="B184" s="361">
        <v>42559</v>
      </c>
      <c r="C184" s="362">
        <v>160</v>
      </c>
      <c r="D184" s="363">
        <v>33.652999999999999</v>
      </c>
      <c r="E184" s="363">
        <v>37.86</v>
      </c>
      <c r="F184" s="363">
        <f t="shared" si="236"/>
        <v>673.12000000000012</v>
      </c>
      <c r="G184" s="363">
        <f t="shared" si="237"/>
        <v>5384.48</v>
      </c>
      <c r="H184" s="364">
        <f t="shared" si="238"/>
        <v>0.12501114313731318</v>
      </c>
      <c r="I184" s="363"/>
    </row>
    <row r="185" spans="2:9" x14ac:dyDescent="0.25">
      <c r="B185" s="361">
        <v>42563</v>
      </c>
      <c r="C185" s="362">
        <v>160</v>
      </c>
      <c r="D185" s="363">
        <v>33.652999999999999</v>
      </c>
      <c r="E185" s="363">
        <v>37.39</v>
      </c>
      <c r="F185" s="363">
        <f t="shared" si="236"/>
        <v>597.9200000000003</v>
      </c>
      <c r="G185" s="363">
        <f t="shared" si="237"/>
        <v>5384.48</v>
      </c>
      <c r="H185" s="364">
        <f t="shared" si="238"/>
        <v>0.11104507770481092</v>
      </c>
      <c r="I185" s="363"/>
    </row>
    <row r="186" spans="2:9" x14ac:dyDescent="0.25">
      <c r="B186" s="361">
        <v>42566</v>
      </c>
      <c r="C186" s="362">
        <v>160</v>
      </c>
      <c r="D186" s="363">
        <v>33.652999999999999</v>
      </c>
      <c r="E186" s="363">
        <v>36.71</v>
      </c>
      <c r="F186" s="363">
        <f t="shared" si="236"/>
        <v>489.12000000000035</v>
      </c>
      <c r="G186" s="363">
        <f t="shared" si="237"/>
        <v>5384.48</v>
      </c>
      <c r="H186" s="364">
        <f t="shared" si="238"/>
        <v>9.0838855376935257E-2</v>
      </c>
      <c r="I186" s="363"/>
    </row>
    <row r="187" spans="2:9" x14ac:dyDescent="0.25">
      <c r="B187" s="361">
        <v>42570</v>
      </c>
      <c r="C187" s="362">
        <v>160</v>
      </c>
      <c r="D187" s="363">
        <v>33.652999999999999</v>
      </c>
      <c r="E187" s="363">
        <v>36.21</v>
      </c>
      <c r="F187" s="363">
        <f t="shared" si="236"/>
        <v>409.12000000000035</v>
      </c>
      <c r="G187" s="363">
        <f t="shared" si="237"/>
        <v>5384.48</v>
      </c>
      <c r="H187" s="364">
        <f t="shared" si="238"/>
        <v>7.5981338959379613E-2</v>
      </c>
      <c r="I187" s="363"/>
    </row>
    <row r="188" spans="2:9" x14ac:dyDescent="0.25">
      <c r="B188" s="361">
        <v>42571</v>
      </c>
      <c r="C188" s="362">
        <v>160</v>
      </c>
      <c r="D188" s="363">
        <v>33.652999999999999</v>
      </c>
      <c r="E188" s="363">
        <v>36.4</v>
      </c>
      <c r="F188" s="363">
        <f t="shared" si="236"/>
        <v>439.52</v>
      </c>
      <c r="G188" s="363">
        <f t="shared" si="237"/>
        <v>5384.48</v>
      </c>
      <c r="H188" s="364">
        <f t="shared" si="238"/>
        <v>8.16271951980507E-2</v>
      </c>
      <c r="I188" s="363"/>
    </row>
    <row r="189" spans="2:9" x14ac:dyDescent="0.25">
      <c r="B189" s="361">
        <v>42572</v>
      </c>
      <c r="C189" s="362">
        <v>160</v>
      </c>
      <c r="D189" s="363">
        <v>33.652999999999999</v>
      </c>
      <c r="E189" s="363">
        <v>35.96</v>
      </c>
      <c r="F189" s="363">
        <f t="shared" si="236"/>
        <v>369.12000000000035</v>
      </c>
      <c r="G189" s="363">
        <f t="shared" si="237"/>
        <v>5384.48</v>
      </c>
      <c r="H189" s="364">
        <f t="shared" si="238"/>
        <v>6.8552580750601791E-2</v>
      </c>
      <c r="I189" s="363"/>
    </row>
    <row r="190" spans="2:9" x14ac:dyDescent="0.25">
      <c r="B190" s="361">
        <v>42576</v>
      </c>
      <c r="C190" s="362">
        <v>160</v>
      </c>
      <c r="D190" s="363">
        <v>33.652999999999999</v>
      </c>
      <c r="E190" s="363">
        <v>35.79</v>
      </c>
      <c r="F190" s="363">
        <f t="shared" si="236"/>
        <v>341.92000000000007</v>
      </c>
      <c r="G190" s="363">
        <f t="shared" si="237"/>
        <v>5384.48</v>
      </c>
      <c r="H190" s="364">
        <f t="shared" si="238"/>
        <v>6.3501025168632833E-2</v>
      </c>
      <c r="I190" s="363"/>
    </row>
    <row r="191" spans="2:9" x14ac:dyDescent="0.25">
      <c r="B191" s="361">
        <v>42577</v>
      </c>
      <c r="C191" s="362">
        <v>160</v>
      </c>
      <c r="D191" s="363">
        <v>33.652999999999999</v>
      </c>
      <c r="E191" s="363">
        <v>36.42</v>
      </c>
      <c r="F191" s="363">
        <f t="shared" si="236"/>
        <v>442.72000000000048</v>
      </c>
      <c r="G191" s="363">
        <f t="shared" si="237"/>
        <v>5384.48</v>
      </c>
      <c r="H191" s="364">
        <f t="shared" si="238"/>
        <v>8.222149585475301E-2</v>
      </c>
      <c r="I191" s="363"/>
    </row>
    <row r="192" spans="2:9" x14ac:dyDescent="0.25">
      <c r="B192" s="361">
        <v>42579</v>
      </c>
      <c r="C192" s="362">
        <v>230</v>
      </c>
      <c r="D192" s="363">
        <v>34.006</v>
      </c>
      <c r="E192" s="363">
        <v>34.4</v>
      </c>
      <c r="F192" s="363">
        <f t="shared" si="236"/>
        <v>90.619999999999621</v>
      </c>
      <c r="G192" s="363">
        <f t="shared" si="237"/>
        <v>7821.38</v>
      </c>
      <c r="H192" s="364">
        <f t="shared" si="238"/>
        <v>1.1586190672234263E-2</v>
      </c>
      <c r="I192" s="363"/>
    </row>
    <row r="193" spans="2:9" x14ac:dyDescent="0.25">
      <c r="B193" s="361">
        <v>42580</v>
      </c>
      <c r="C193" s="362">
        <v>260</v>
      </c>
      <c r="D193" s="363">
        <v>33.991999999999997</v>
      </c>
      <c r="E193" s="363">
        <v>34.19</v>
      </c>
      <c r="F193" s="363">
        <f t="shared" si="236"/>
        <v>51.480000000000103</v>
      </c>
      <c r="G193" s="363">
        <f t="shared" si="237"/>
        <v>8837.92</v>
      </c>
      <c r="H193" s="364">
        <f t="shared" si="238"/>
        <v>5.824899976465063E-3</v>
      </c>
      <c r="I193" s="363"/>
    </row>
    <row r="194" spans="2:9" x14ac:dyDescent="0.25">
      <c r="B194" s="361">
        <v>42584</v>
      </c>
      <c r="C194" s="362">
        <v>300</v>
      </c>
      <c r="D194" s="363">
        <v>33.866</v>
      </c>
      <c r="E194" s="363">
        <v>32.61</v>
      </c>
      <c r="F194" s="363">
        <f t="shared" si="236"/>
        <v>-376.80000000000007</v>
      </c>
      <c r="G194" s="363">
        <f t="shared" si="237"/>
        <v>10159.799999999999</v>
      </c>
      <c r="H194" s="364">
        <f t="shared" si="238"/>
        <v>-3.7087344239059829E-2</v>
      </c>
      <c r="I194" s="363"/>
    </row>
    <row r="195" spans="2:9" x14ac:dyDescent="0.25">
      <c r="B195" s="361">
        <v>42586</v>
      </c>
      <c r="C195" s="362">
        <v>400</v>
      </c>
      <c r="D195" s="363">
        <v>33.520000000000003</v>
      </c>
      <c r="E195" s="363">
        <v>32.549999999999997</v>
      </c>
      <c r="F195" s="363">
        <f t="shared" si="236"/>
        <v>-388.00000000000239</v>
      </c>
      <c r="G195" s="363">
        <f t="shared" si="237"/>
        <v>13408.000000000002</v>
      </c>
      <c r="H195" s="364">
        <f t="shared" si="238"/>
        <v>-2.8937947494033587E-2</v>
      </c>
      <c r="I195" s="363"/>
    </row>
    <row r="196" spans="2:9" x14ac:dyDescent="0.25">
      <c r="B196" s="361">
        <v>42587</v>
      </c>
      <c r="C196" s="362">
        <v>400</v>
      </c>
      <c r="D196" s="363">
        <v>33.387349999999998</v>
      </c>
      <c r="E196" s="363">
        <v>32.729999999999997</v>
      </c>
      <c r="F196" s="363">
        <f t="shared" si="236"/>
        <v>-262.9400000000004</v>
      </c>
      <c r="G196" s="363">
        <f t="shared" si="237"/>
        <v>13354.939999999999</v>
      </c>
      <c r="H196" s="364">
        <f t="shared" si="238"/>
        <v>-1.9688594632398231E-2</v>
      </c>
      <c r="I196" s="363"/>
    </row>
    <row r="197" spans="2:9" x14ac:dyDescent="0.25">
      <c r="B197" s="361">
        <v>42598</v>
      </c>
      <c r="C197" s="362">
        <v>400</v>
      </c>
      <c r="D197" s="363">
        <v>33.387349999999998</v>
      </c>
      <c r="E197" s="363">
        <v>32.1</v>
      </c>
      <c r="F197" s="363">
        <f t="shared" si="236"/>
        <v>-514.93999999999858</v>
      </c>
      <c r="G197" s="363">
        <f t="shared" ref="G197:G202" si="239">D197*C197</f>
        <v>13354.939999999999</v>
      </c>
      <c r="H197" s="364">
        <f t="shared" si="238"/>
        <v>-3.8558016733882636E-2</v>
      </c>
      <c r="I197" s="363"/>
    </row>
    <row r="198" spans="2:9" x14ac:dyDescent="0.25">
      <c r="B198" s="361">
        <v>42599</v>
      </c>
      <c r="C198" s="362">
        <v>500</v>
      </c>
      <c r="D198" s="363">
        <v>33.045879999999997</v>
      </c>
      <c r="E198" s="363">
        <v>31.88</v>
      </c>
      <c r="F198" s="363">
        <f t="shared" si="236"/>
        <v>-582.93999999999892</v>
      </c>
      <c r="G198" s="363">
        <f t="shared" si="239"/>
        <v>16522.939999999999</v>
      </c>
      <c r="H198" s="364">
        <f t="shared" si="238"/>
        <v>-3.5280646180401248E-2</v>
      </c>
      <c r="I198" s="363"/>
    </row>
    <row r="199" spans="2:9" x14ac:dyDescent="0.25">
      <c r="B199" s="361">
        <v>42600</v>
      </c>
      <c r="C199" s="362">
        <v>500</v>
      </c>
      <c r="D199" s="363">
        <v>33.045879999999997</v>
      </c>
      <c r="E199" s="363">
        <v>32.46</v>
      </c>
      <c r="F199" s="363">
        <f t="shared" si="236"/>
        <v>-292.93999999999801</v>
      </c>
      <c r="G199" s="363">
        <f t="shared" si="239"/>
        <v>16522.939999999999</v>
      </c>
      <c r="H199" s="364">
        <f t="shared" si="238"/>
        <v>-1.7729290307899079E-2</v>
      </c>
      <c r="I199" s="363"/>
    </row>
    <row r="200" spans="2:9" x14ac:dyDescent="0.25">
      <c r="B200" s="361">
        <v>42601</v>
      </c>
      <c r="C200" s="362">
        <v>500</v>
      </c>
      <c r="D200" s="363">
        <v>33.045879999999997</v>
      </c>
      <c r="E200" s="363">
        <v>32.61</v>
      </c>
      <c r="F200" s="363">
        <f t="shared" si="236"/>
        <v>-217.93999999999869</v>
      </c>
      <c r="G200" s="363">
        <f t="shared" si="239"/>
        <v>16522.939999999999</v>
      </c>
      <c r="H200" s="364">
        <f t="shared" si="238"/>
        <v>-1.3190146547769266E-2</v>
      </c>
      <c r="I200" s="363"/>
    </row>
    <row r="201" spans="2:9" x14ac:dyDescent="0.25">
      <c r="B201" s="361">
        <v>42604</v>
      </c>
      <c r="C201" s="362">
        <v>500</v>
      </c>
      <c r="D201" s="363">
        <v>33.045879999999997</v>
      </c>
      <c r="E201" s="363">
        <v>32.86</v>
      </c>
      <c r="F201" s="363">
        <f t="shared" si="236"/>
        <v>-92.93999999999869</v>
      </c>
      <c r="G201" s="363">
        <f t="shared" si="239"/>
        <v>16522.939999999999</v>
      </c>
      <c r="H201" s="364">
        <f t="shared" si="238"/>
        <v>-5.624906947552839E-3</v>
      </c>
      <c r="I201" s="363"/>
    </row>
    <row r="202" spans="2:9" x14ac:dyDescent="0.25">
      <c r="B202" s="361">
        <v>42605</v>
      </c>
      <c r="C202" s="362">
        <v>500</v>
      </c>
      <c r="D202" s="363">
        <v>33.045879999999997</v>
      </c>
      <c r="E202" s="363">
        <v>32.25</v>
      </c>
      <c r="F202" s="363">
        <f t="shared" si="236"/>
        <v>-397.93999999999841</v>
      </c>
      <c r="G202" s="363">
        <f t="shared" si="239"/>
        <v>16522.939999999999</v>
      </c>
      <c r="H202" s="364">
        <f t="shared" si="238"/>
        <v>-2.4084091572080902E-2</v>
      </c>
      <c r="I202" s="363"/>
    </row>
    <row r="203" spans="2:9" x14ac:dyDescent="0.25">
      <c r="B203" s="361">
        <v>42606</v>
      </c>
      <c r="C203" s="362">
        <v>500</v>
      </c>
      <c r="D203" s="363">
        <v>33.045879999999997</v>
      </c>
      <c r="E203" s="363">
        <v>32.99</v>
      </c>
      <c r="F203" s="363">
        <f t="shared" si="236"/>
        <v>-27.939999999997411</v>
      </c>
      <c r="G203" s="363">
        <f t="shared" ref="G203:G225" si="240">D203*C203</f>
        <v>16522.939999999999</v>
      </c>
      <c r="H203" s="364">
        <f t="shared" si="238"/>
        <v>-1.6909823554402191E-3</v>
      </c>
      <c r="I203" s="363"/>
    </row>
    <row r="204" spans="2:9" x14ac:dyDescent="0.25">
      <c r="B204" s="361">
        <v>42607</v>
      </c>
      <c r="C204" s="362">
        <v>500</v>
      </c>
      <c r="D204" s="363">
        <v>33.045879999999997</v>
      </c>
      <c r="E204" s="363">
        <v>32.76</v>
      </c>
      <c r="F204" s="363">
        <f t="shared" si="236"/>
        <v>-142.9399999999994</v>
      </c>
      <c r="G204" s="363">
        <f t="shared" si="240"/>
        <v>16522.939999999999</v>
      </c>
      <c r="H204" s="364">
        <f t="shared" si="238"/>
        <v>-8.6510027876394533E-3</v>
      </c>
      <c r="I204" s="363"/>
    </row>
    <row r="205" spans="2:9" x14ac:dyDescent="0.25">
      <c r="B205" s="361">
        <v>42611</v>
      </c>
      <c r="C205" s="362">
        <v>500</v>
      </c>
      <c r="D205" s="363">
        <v>33.045879999999997</v>
      </c>
      <c r="E205" s="363">
        <v>32.33</v>
      </c>
      <c r="F205" s="363">
        <f t="shared" si="236"/>
        <v>-357.93999999999926</v>
      </c>
      <c r="G205" s="363">
        <f t="shared" si="240"/>
        <v>16522.939999999999</v>
      </c>
      <c r="H205" s="364">
        <f t="shared" si="238"/>
        <v>-2.1663214900011697E-2</v>
      </c>
      <c r="I205" s="363"/>
    </row>
    <row r="206" spans="2:9" x14ac:dyDescent="0.25">
      <c r="B206" s="361">
        <v>42612</v>
      </c>
      <c r="C206" s="362">
        <v>500</v>
      </c>
      <c r="D206" s="363">
        <v>33.045879999999997</v>
      </c>
      <c r="E206" s="363">
        <v>32.159999999999997</v>
      </c>
      <c r="F206" s="363">
        <f t="shared" si="236"/>
        <v>-442.94000000000011</v>
      </c>
      <c r="G206" s="363">
        <f t="shared" si="240"/>
        <v>16522.939999999999</v>
      </c>
      <c r="H206" s="364">
        <f t="shared" si="238"/>
        <v>-2.6807577828158919E-2</v>
      </c>
      <c r="I206" s="363"/>
    </row>
    <row r="207" spans="2:9" x14ac:dyDescent="0.25">
      <c r="B207" s="361">
        <v>42614</v>
      </c>
      <c r="C207" s="362">
        <v>500</v>
      </c>
      <c r="D207" s="363">
        <v>33.045879999999997</v>
      </c>
      <c r="E207" s="363">
        <v>31.96</v>
      </c>
      <c r="F207" s="363">
        <f t="shared" si="236"/>
        <v>-542.93999999999801</v>
      </c>
      <c r="G207" s="363">
        <f t="shared" si="240"/>
        <v>16522.939999999999</v>
      </c>
      <c r="H207" s="364">
        <f t="shared" si="238"/>
        <v>-3.2859769508331936E-2</v>
      </c>
      <c r="I207" s="363"/>
    </row>
    <row r="208" spans="2:9" x14ac:dyDescent="0.25">
      <c r="B208" s="361">
        <v>42615</v>
      </c>
      <c r="C208" s="362">
        <v>500</v>
      </c>
      <c r="D208" s="363">
        <v>32.94988</v>
      </c>
      <c r="E208" s="363">
        <v>32.5</v>
      </c>
      <c r="F208" s="363">
        <f t="shared" si="236"/>
        <v>-224.94000000000014</v>
      </c>
      <c r="G208" s="363">
        <f t="shared" si="240"/>
        <v>16474.939999999999</v>
      </c>
      <c r="H208" s="364">
        <f t="shared" si="238"/>
        <v>-1.3653463988336233E-2</v>
      </c>
      <c r="I208" s="363" t="s">
        <v>185</v>
      </c>
    </row>
    <row r="209" spans="2:9" x14ac:dyDescent="0.25">
      <c r="B209" s="361">
        <v>42619</v>
      </c>
      <c r="C209" s="362">
        <v>500</v>
      </c>
      <c r="D209" s="363">
        <v>32.94988</v>
      </c>
      <c r="E209" s="363">
        <v>32.67</v>
      </c>
      <c r="F209" s="363">
        <f t="shared" si="236"/>
        <v>-139.93999999999929</v>
      </c>
      <c r="G209" s="363">
        <f t="shared" si="240"/>
        <v>16474.939999999999</v>
      </c>
      <c r="H209" s="364">
        <f t="shared" si="238"/>
        <v>-8.4941128768905548E-3</v>
      </c>
      <c r="I209" s="363"/>
    </row>
    <row r="210" spans="2:9" x14ac:dyDescent="0.25">
      <c r="B210" s="361">
        <v>42620</v>
      </c>
      <c r="C210" s="362">
        <v>600</v>
      </c>
      <c r="D210" s="363">
        <v>32.733229999999999</v>
      </c>
      <c r="E210" s="363">
        <v>31.32</v>
      </c>
      <c r="F210" s="363">
        <f t="shared" si="236"/>
        <v>-847.93799999999919</v>
      </c>
      <c r="G210" s="363">
        <f t="shared" si="240"/>
        <v>19639.937999999998</v>
      </c>
      <c r="H210" s="364">
        <f t="shared" si="238"/>
        <v>-4.3174168879759153E-2</v>
      </c>
      <c r="I210" s="363"/>
    </row>
    <row r="211" spans="2:9" x14ac:dyDescent="0.25">
      <c r="B211" s="361">
        <v>42620</v>
      </c>
      <c r="C211" s="362">
        <v>700</v>
      </c>
      <c r="D211" s="363">
        <v>32.511339999999997</v>
      </c>
      <c r="E211" s="363">
        <v>31.32</v>
      </c>
      <c r="F211" s="363">
        <f t="shared" si="236"/>
        <v>-833.93799999999771</v>
      </c>
      <c r="G211" s="363">
        <f t="shared" si="240"/>
        <v>22757.937999999998</v>
      </c>
      <c r="H211" s="364">
        <f t="shared" si="238"/>
        <v>-3.6643829506873504E-2</v>
      </c>
      <c r="I211" s="363"/>
    </row>
    <row r="212" spans="2:9" x14ac:dyDescent="0.25">
      <c r="B212" s="361">
        <v>42621</v>
      </c>
      <c r="C212" s="362">
        <v>700</v>
      </c>
      <c r="D212" s="363">
        <v>32.511339999999997</v>
      </c>
      <c r="E212" s="363">
        <v>31.31</v>
      </c>
      <c r="F212" s="363">
        <f t="shared" si="236"/>
        <v>-840.93799999999885</v>
      </c>
      <c r="G212" s="363">
        <f t="shared" si="240"/>
        <v>22757.937999999998</v>
      </c>
      <c r="H212" s="364">
        <f t="shared" si="238"/>
        <v>-3.6951414491066759E-2</v>
      </c>
      <c r="I212" s="363"/>
    </row>
    <row r="213" spans="2:9" x14ac:dyDescent="0.25">
      <c r="B213" s="361">
        <v>42622</v>
      </c>
      <c r="C213" s="362">
        <v>700</v>
      </c>
      <c r="D213" s="363">
        <v>32.511339999999997</v>
      </c>
      <c r="E213" s="363">
        <v>31.51</v>
      </c>
      <c r="F213" s="363">
        <f t="shared" si="236"/>
        <v>-700.9379999999968</v>
      </c>
      <c r="G213" s="363">
        <f t="shared" si="240"/>
        <v>22757.937999999998</v>
      </c>
      <c r="H213" s="364">
        <f t="shared" si="238"/>
        <v>-3.0799714807202519E-2</v>
      </c>
      <c r="I213" s="363"/>
    </row>
    <row r="214" spans="2:9" x14ac:dyDescent="0.25">
      <c r="B214" s="361">
        <v>42625</v>
      </c>
      <c r="C214" s="362">
        <v>800</v>
      </c>
      <c r="D214" s="363">
        <v>32.297429999999999</v>
      </c>
      <c r="E214" s="363">
        <v>30.89</v>
      </c>
      <c r="F214" s="363">
        <f t="shared" si="236"/>
        <v>-1125.9439999999984</v>
      </c>
      <c r="G214" s="363">
        <f t="shared" si="240"/>
        <v>25837.944</v>
      </c>
      <c r="H214" s="364">
        <f t="shared" si="238"/>
        <v>-4.3577151494716394E-2</v>
      </c>
      <c r="I214" s="363"/>
    </row>
    <row r="215" spans="2:9" x14ac:dyDescent="0.25">
      <c r="B215" s="361">
        <v>42632</v>
      </c>
      <c r="C215" s="362">
        <v>800</v>
      </c>
      <c r="D215" s="363">
        <v>32.297429999999999</v>
      </c>
      <c r="E215" s="363">
        <v>30.79</v>
      </c>
      <c r="F215" s="363">
        <f t="shared" si="236"/>
        <v>-1205.9439999999995</v>
      </c>
      <c r="G215" s="363">
        <f t="shared" si="240"/>
        <v>25837.944</v>
      </c>
      <c r="H215" s="364">
        <f t="shared" si="238"/>
        <v>-4.6673373082626063E-2</v>
      </c>
      <c r="I215" s="363"/>
    </row>
    <row r="216" spans="2:9" x14ac:dyDescent="0.25">
      <c r="B216" s="361">
        <v>42633</v>
      </c>
      <c r="C216" s="362">
        <v>800</v>
      </c>
      <c r="D216" s="363">
        <v>32.297429999999999</v>
      </c>
      <c r="E216" s="363">
        <v>31.09</v>
      </c>
      <c r="F216" s="363">
        <f t="shared" si="236"/>
        <v>-965.94399999999894</v>
      </c>
      <c r="G216" s="363">
        <f t="shared" si="240"/>
        <v>25837.944</v>
      </c>
      <c r="H216" s="364">
        <f t="shared" si="238"/>
        <v>-3.7384708318897161E-2</v>
      </c>
      <c r="I216" s="363"/>
    </row>
    <row r="217" spans="2:9" x14ac:dyDescent="0.25">
      <c r="B217" s="361">
        <v>42605</v>
      </c>
      <c r="C217" s="362">
        <v>800</v>
      </c>
      <c r="D217" s="363">
        <v>32.297429999999999</v>
      </c>
      <c r="E217" s="363">
        <v>30.45</v>
      </c>
      <c r="F217" s="363">
        <f t="shared" si="236"/>
        <v>-1477.9439999999995</v>
      </c>
      <c r="G217" s="363">
        <f t="shared" si="240"/>
        <v>25837.944</v>
      </c>
      <c r="H217" s="364">
        <f t="shared" si="238"/>
        <v>-5.7200526481518785E-2</v>
      </c>
      <c r="I217" s="363"/>
    </row>
    <row r="218" spans="2:9" x14ac:dyDescent="0.25">
      <c r="B218" s="361">
        <v>42639</v>
      </c>
      <c r="C218" s="362">
        <v>900</v>
      </c>
      <c r="D218" s="363">
        <v>32.05104</v>
      </c>
      <c r="E218" s="363">
        <v>30.08</v>
      </c>
      <c r="F218" s="363">
        <f t="shared" si="236"/>
        <v>-1773.936000000002</v>
      </c>
      <c r="G218" s="363">
        <f t="shared" si="240"/>
        <v>28845.936000000002</v>
      </c>
      <c r="H218" s="364">
        <f t="shared" si="238"/>
        <v>-6.14969124246827E-2</v>
      </c>
      <c r="I218" s="363"/>
    </row>
    <row r="219" spans="2:9" x14ac:dyDescent="0.25">
      <c r="B219" s="361">
        <v>42640</v>
      </c>
      <c r="C219" s="362">
        <v>900</v>
      </c>
      <c r="D219" s="363">
        <v>32.05104</v>
      </c>
      <c r="E219" s="363">
        <v>29.9</v>
      </c>
      <c r="F219" s="363">
        <f t="shared" si="236"/>
        <v>-1935.9360000000017</v>
      </c>
      <c r="G219" s="363">
        <f t="shared" si="240"/>
        <v>28845.936000000002</v>
      </c>
      <c r="H219" s="364">
        <f t="shared" si="238"/>
        <v>-6.7112954837034985E-2</v>
      </c>
      <c r="I219" s="363"/>
    </row>
    <row r="220" spans="2:9" x14ac:dyDescent="0.25">
      <c r="B220" s="361">
        <v>42641</v>
      </c>
      <c r="C220" s="362">
        <v>900</v>
      </c>
      <c r="D220" s="363">
        <v>32.05104</v>
      </c>
      <c r="E220" s="363">
        <v>29.84</v>
      </c>
      <c r="F220" s="363">
        <f t="shared" si="236"/>
        <v>-1989.9360000000006</v>
      </c>
      <c r="G220" s="363">
        <f t="shared" si="240"/>
        <v>28845.936000000002</v>
      </c>
      <c r="H220" s="364">
        <f t="shared" si="238"/>
        <v>-6.8984968974485708E-2</v>
      </c>
      <c r="I220" s="363"/>
    </row>
    <row r="221" spans="2:9" x14ac:dyDescent="0.25">
      <c r="B221" s="361">
        <v>42643</v>
      </c>
      <c r="C221" s="362">
        <v>900</v>
      </c>
      <c r="D221" s="363">
        <v>32.05104</v>
      </c>
      <c r="E221" s="363">
        <v>29.68</v>
      </c>
      <c r="F221" s="363">
        <f t="shared" si="236"/>
        <v>-2133.9360000000006</v>
      </c>
      <c r="G221" s="363">
        <f t="shared" si="240"/>
        <v>28845.936000000002</v>
      </c>
      <c r="H221" s="364">
        <f t="shared" si="238"/>
        <v>-7.3977006674354431E-2</v>
      </c>
      <c r="I221" s="363"/>
    </row>
    <row r="222" spans="2:9" x14ac:dyDescent="0.25">
      <c r="B222" s="361">
        <v>42646</v>
      </c>
      <c r="C222" s="362">
        <v>1000</v>
      </c>
      <c r="D222" s="363">
        <v>31.78594</v>
      </c>
      <c r="E222" s="363">
        <v>29.28</v>
      </c>
      <c r="F222" s="363">
        <f t="shared" si="236"/>
        <v>-2505.9399999999991</v>
      </c>
      <c r="G222" s="363">
        <f t="shared" si="240"/>
        <v>31785.94</v>
      </c>
      <c r="H222" s="364">
        <f t="shared" si="238"/>
        <v>-7.8838001959356835E-2</v>
      </c>
      <c r="I222" s="363"/>
    </row>
    <row r="223" spans="2:9" x14ac:dyDescent="0.25">
      <c r="B223" s="361">
        <v>42648</v>
      </c>
      <c r="C223" s="362">
        <v>1000</v>
      </c>
      <c r="D223" s="363">
        <v>31.78594</v>
      </c>
      <c r="E223" s="363">
        <v>28.84</v>
      </c>
      <c r="F223" s="363">
        <f t="shared" si="236"/>
        <v>-2945.94</v>
      </c>
      <c r="G223" s="363">
        <f t="shared" si="240"/>
        <v>31785.94</v>
      </c>
      <c r="H223" s="364">
        <f t="shared" si="238"/>
        <v>-9.2680600290568724E-2</v>
      </c>
      <c r="I223" s="363"/>
    </row>
    <row r="224" spans="2:9" x14ac:dyDescent="0.25">
      <c r="B224" s="361">
        <v>42649</v>
      </c>
      <c r="C224" s="362">
        <v>1000</v>
      </c>
      <c r="D224" s="363">
        <v>31.78594</v>
      </c>
      <c r="E224" s="363">
        <v>29.37</v>
      </c>
      <c r="F224" s="363">
        <f t="shared" si="236"/>
        <v>-2415.9399999999991</v>
      </c>
      <c r="G224" s="363">
        <f t="shared" si="240"/>
        <v>31785.94</v>
      </c>
      <c r="H224" s="364">
        <f t="shared" si="238"/>
        <v>-7.6006561391608968E-2</v>
      </c>
      <c r="I224" s="363"/>
    </row>
    <row r="225" spans="2:9" x14ac:dyDescent="0.25">
      <c r="B225" s="361">
        <v>42650</v>
      </c>
      <c r="C225" s="362">
        <v>1000</v>
      </c>
      <c r="D225" s="363">
        <v>31.78594</v>
      </c>
      <c r="E225" s="363">
        <v>29</v>
      </c>
      <c r="F225" s="363">
        <f t="shared" si="236"/>
        <v>-2785.94</v>
      </c>
      <c r="G225" s="363">
        <f t="shared" si="240"/>
        <v>31785.94</v>
      </c>
      <c r="H225" s="364">
        <f t="shared" si="238"/>
        <v>-8.7646928170128049E-2</v>
      </c>
      <c r="I225" s="363"/>
    </row>
    <row r="226" spans="2:9" x14ac:dyDescent="0.25">
      <c r="B226" s="361">
        <v>42661</v>
      </c>
      <c r="C226" s="362">
        <v>1000</v>
      </c>
      <c r="D226" s="363">
        <v>31.78594</v>
      </c>
      <c r="E226" s="363">
        <v>30.64</v>
      </c>
      <c r="F226" s="363">
        <f t="shared" ref="F226:F231" si="241">C226*(E226-D226)</f>
        <v>-1145.9399999999996</v>
      </c>
      <c r="G226" s="363">
        <f t="shared" ref="G226:G231" si="242">D226*C226</f>
        <v>31785.94</v>
      </c>
      <c r="H226" s="364">
        <f t="shared" ref="H226:H231" si="243">(E226-D226)/D226</f>
        <v>-3.6051788935611138E-2</v>
      </c>
      <c r="I226" s="363"/>
    </row>
    <row r="227" spans="2:9" x14ac:dyDescent="0.25">
      <c r="B227" s="361">
        <v>42671</v>
      </c>
      <c r="C227" s="362">
        <v>900</v>
      </c>
      <c r="D227" s="363">
        <v>31.837789999999998</v>
      </c>
      <c r="E227" s="363">
        <v>31.26</v>
      </c>
      <c r="F227" s="363">
        <f t="shared" si="241"/>
        <v>-520.01099999999701</v>
      </c>
      <c r="G227" s="363">
        <f t="shared" si="242"/>
        <v>28654.010999999999</v>
      </c>
      <c r="H227" s="364">
        <f t="shared" si="243"/>
        <v>-1.8147930493919232E-2</v>
      </c>
      <c r="I227" s="363"/>
    </row>
    <row r="228" spans="2:9" x14ac:dyDescent="0.25">
      <c r="B228" s="361">
        <v>42674</v>
      </c>
      <c r="C228" s="362">
        <v>1000</v>
      </c>
      <c r="D228" s="363">
        <v>31.763999999999999</v>
      </c>
      <c r="E228" s="363">
        <v>30.98</v>
      </c>
      <c r="F228" s="363">
        <f t="shared" si="241"/>
        <v>-783.99999999999886</v>
      </c>
      <c r="G228" s="363">
        <f t="shared" si="242"/>
        <v>31764</v>
      </c>
      <c r="H228" s="364">
        <f t="shared" si="243"/>
        <v>-2.468202997103636E-2</v>
      </c>
      <c r="I228" s="363"/>
    </row>
    <row r="229" spans="2:9" x14ac:dyDescent="0.25">
      <c r="B229" s="361">
        <v>42676</v>
      </c>
      <c r="C229" s="362">
        <v>500</v>
      </c>
      <c r="D229" s="363">
        <v>31.518719999999998</v>
      </c>
      <c r="E229" s="363">
        <v>32.22</v>
      </c>
      <c r="F229" s="363">
        <f t="shared" si="241"/>
        <v>350.64000000000027</v>
      </c>
      <c r="G229" s="363">
        <f t="shared" si="242"/>
        <v>15759.359999999999</v>
      </c>
      <c r="H229" s="364">
        <f t="shared" si="243"/>
        <v>2.2249634502923995E-2</v>
      </c>
      <c r="I229" s="363">
        <v>31</v>
      </c>
    </row>
    <row r="230" spans="2:9" x14ac:dyDescent="0.25">
      <c r="B230" s="361">
        <v>42677</v>
      </c>
      <c r="C230" s="362">
        <v>800</v>
      </c>
      <c r="D230" s="363">
        <v>31.51858</v>
      </c>
      <c r="E230" s="363">
        <v>31.02</v>
      </c>
      <c r="F230" s="363">
        <f t="shared" si="241"/>
        <v>-398.86400000000037</v>
      </c>
      <c r="G230" s="363">
        <f t="shared" si="242"/>
        <v>25214.864000000001</v>
      </c>
      <c r="H230" s="364">
        <f t="shared" si="243"/>
        <v>-1.5818606041262027E-2</v>
      </c>
      <c r="I230" s="363"/>
    </row>
    <row r="231" spans="2:9" x14ac:dyDescent="0.25">
      <c r="B231" s="361">
        <v>42701</v>
      </c>
      <c r="C231" s="362">
        <v>400</v>
      </c>
      <c r="D231" s="363">
        <v>30.677849999999999</v>
      </c>
      <c r="E231" s="363">
        <v>33.880000000000003</v>
      </c>
      <c r="F231" s="363">
        <f t="shared" si="241"/>
        <v>1280.8600000000013</v>
      </c>
      <c r="G231" s="363">
        <f t="shared" si="242"/>
        <v>12271.14</v>
      </c>
      <c r="H231" s="364">
        <f t="shared" si="243"/>
        <v>0.10437987016691207</v>
      </c>
      <c r="I231" s="363"/>
    </row>
    <row r="232" spans="2:9" x14ac:dyDescent="0.25">
      <c r="B232" s="361">
        <v>42704</v>
      </c>
      <c r="C232" s="362">
        <v>400</v>
      </c>
      <c r="D232" s="363">
        <v>30.677849999999999</v>
      </c>
      <c r="E232" s="363">
        <v>32.299999999999997</v>
      </c>
      <c r="F232" s="363">
        <f t="shared" ref="F232:F238" si="244">C232*(E232-D232)</f>
        <v>648.8599999999991</v>
      </c>
      <c r="G232" s="363">
        <f t="shared" ref="G232:G238" si="245">D232*C232</f>
        <v>12271.14</v>
      </c>
      <c r="H232" s="364">
        <f t="shared" ref="H232:H238" si="246">(E232-D232)/D232</f>
        <v>5.2876912821465581E-2</v>
      </c>
      <c r="I232" s="363"/>
    </row>
    <row r="233" spans="2:9" x14ac:dyDescent="0.25">
      <c r="B233" s="361">
        <v>42706</v>
      </c>
      <c r="C233" s="362">
        <v>400</v>
      </c>
      <c r="D233" s="363">
        <v>30.527850000000001</v>
      </c>
      <c r="E233" s="363">
        <v>33.299999999999997</v>
      </c>
      <c r="F233" s="363">
        <f t="shared" si="244"/>
        <v>1108.8599999999985</v>
      </c>
      <c r="G233" s="363">
        <f t="shared" si="245"/>
        <v>12211.14</v>
      </c>
      <c r="H233" s="364">
        <f t="shared" si="246"/>
        <v>9.0807246497869851E-2</v>
      </c>
      <c r="I233" s="363"/>
    </row>
    <row r="234" spans="2:9" x14ac:dyDescent="0.25">
      <c r="B234" s="361">
        <v>42712</v>
      </c>
      <c r="C234" s="362">
        <v>300</v>
      </c>
      <c r="D234" s="363">
        <v>29.297370000000001</v>
      </c>
      <c r="E234" s="363">
        <v>34.19</v>
      </c>
      <c r="F234" s="363">
        <f t="shared" si="244"/>
        <v>1467.7889999999991</v>
      </c>
      <c r="G234" s="363">
        <f t="shared" si="245"/>
        <v>8789.2109999999993</v>
      </c>
      <c r="H234" s="364">
        <f t="shared" si="246"/>
        <v>0.16699894905242338</v>
      </c>
      <c r="I234" s="363"/>
    </row>
    <row r="235" spans="2:9" x14ac:dyDescent="0.25">
      <c r="B235" s="361">
        <v>42713</v>
      </c>
      <c r="C235" s="362">
        <v>200</v>
      </c>
      <c r="D235" s="363">
        <v>26.551449999999999</v>
      </c>
      <c r="E235" s="363">
        <v>34.78</v>
      </c>
      <c r="F235" s="363">
        <f t="shared" si="244"/>
        <v>1645.7100000000005</v>
      </c>
      <c r="G235" s="363">
        <f t="shared" si="245"/>
        <v>5310.29</v>
      </c>
      <c r="H235" s="364">
        <f t="shared" si="246"/>
        <v>0.30990962828772073</v>
      </c>
      <c r="I235" s="363"/>
    </row>
    <row r="236" spans="2:9" x14ac:dyDescent="0.25">
      <c r="B236" s="361">
        <v>42716</v>
      </c>
      <c r="C236" s="362">
        <v>300</v>
      </c>
      <c r="D236" s="363">
        <v>29.0943</v>
      </c>
      <c r="E236" s="363">
        <v>34.22</v>
      </c>
      <c r="F236" s="363">
        <f t="shared" si="244"/>
        <v>1537.7099999999996</v>
      </c>
      <c r="G236" s="363">
        <f t="shared" si="245"/>
        <v>8728.2900000000009</v>
      </c>
      <c r="H236" s="364">
        <f t="shared" si="246"/>
        <v>0.17617540205469795</v>
      </c>
      <c r="I236" s="363"/>
    </row>
    <row r="237" spans="2:9" x14ac:dyDescent="0.25">
      <c r="B237" s="361">
        <v>42718</v>
      </c>
      <c r="C237" s="362">
        <v>100</v>
      </c>
      <c r="D237" s="363">
        <v>17.179500000000001</v>
      </c>
      <c r="E237" s="363">
        <v>34.72</v>
      </c>
      <c r="F237" s="363">
        <f t="shared" si="244"/>
        <v>1754.0499999999997</v>
      </c>
      <c r="G237" s="363">
        <f t="shared" si="245"/>
        <v>1717.95</v>
      </c>
      <c r="H237" s="364">
        <f t="shared" si="246"/>
        <v>1.021013417154166</v>
      </c>
      <c r="I237" s="363"/>
    </row>
    <row r="238" spans="2:9" x14ac:dyDescent="0.25">
      <c r="B238" s="361">
        <v>42718</v>
      </c>
      <c r="C238" s="362">
        <v>300</v>
      </c>
      <c r="D238" s="363">
        <v>28.9132</v>
      </c>
      <c r="E238" s="363">
        <v>34.72</v>
      </c>
      <c r="F238" s="363">
        <f t="shared" si="244"/>
        <v>1742.0399999999997</v>
      </c>
      <c r="G238" s="363">
        <f t="shared" si="245"/>
        <v>8673.9599999999991</v>
      </c>
      <c r="H238" s="364">
        <f t="shared" si="246"/>
        <v>0.20083560449898313</v>
      </c>
      <c r="I238" s="363"/>
    </row>
    <row r="239" spans="2:9" x14ac:dyDescent="0.25">
      <c r="B239" s="361">
        <v>42729</v>
      </c>
      <c r="C239" s="362">
        <v>300</v>
      </c>
      <c r="D239" s="363">
        <v>28.9132</v>
      </c>
      <c r="E239" s="363">
        <v>35.08</v>
      </c>
      <c r="F239" s="363">
        <f>C239*(E239-D239)</f>
        <v>1850.0399999999995</v>
      </c>
      <c r="G239" s="363">
        <f>D239*C239</f>
        <v>8673.9599999999991</v>
      </c>
      <c r="H239" s="364">
        <f>(E239-D239)/D239</f>
        <v>0.21328666491429515</v>
      </c>
      <c r="I239" s="363"/>
    </row>
    <row r="240" spans="2:9" x14ac:dyDescent="0.25">
      <c r="B240" s="361">
        <v>42745</v>
      </c>
      <c r="C240" s="362">
        <v>400</v>
      </c>
      <c r="D240" s="363">
        <v>30.12988</v>
      </c>
      <c r="E240" s="363">
        <v>33.19</v>
      </c>
      <c r="F240" s="363">
        <f>C240*(E240-D240)</f>
        <v>1224.0479999999991</v>
      </c>
      <c r="G240" s="363">
        <f>D240*C240</f>
        <v>12051.951999999999</v>
      </c>
      <c r="H240" s="364">
        <f>(E240-D240)/D240</f>
        <v>0.1015642943151449</v>
      </c>
      <c r="I240" s="363"/>
    </row>
    <row r="241" spans="2:9" x14ac:dyDescent="0.25">
      <c r="B241" s="361">
        <v>42752</v>
      </c>
      <c r="C241" s="362">
        <v>300</v>
      </c>
      <c r="D241" s="363">
        <v>28.620100000000001</v>
      </c>
      <c r="E241" s="363">
        <v>34.840000000000003</v>
      </c>
      <c r="F241" s="363">
        <f>C241*(E241-D241)</f>
        <v>1865.9700000000007</v>
      </c>
      <c r="G241" s="363">
        <f>D241*C241</f>
        <v>8586.0300000000007</v>
      </c>
      <c r="H241" s="364">
        <f>(E241-D241)/D241</f>
        <v>0.21732628467405782</v>
      </c>
      <c r="I241" s="363">
        <v>28.25</v>
      </c>
    </row>
    <row r="242" spans="2:9" x14ac:dyDescent="0.25">
      <c r="B242" s="361">
        <v>42754</v>
      </c>
      <c r="C242" s="362">
        <v>400</v>
      </c>
      <c r="D242" s="363">
        <v>30.032579999999999</v>
      </c>
      <c r="E242" s="363">
        <v>34.26</v>
      </c>
      <c r="F242" s="363">
        <f>C242*(E242-D242)</f>
        <v>1690.9679999999994</v>
      </c>
      <c r="G242" s="363">
        <f>D242*C242</f>
        <v>12013.031999999999</v>
      </c>
      <c r="H242" s="364">
        <f>(E242-D242)/D242</f>
        <v>0.14076113340911767</v>
      </c>
      <c r="I242" s="363"/>
    </row>
    <row r="257" spans="1:13" x14ac:dyDescent="0.25">
      <c r="M257" s="2">
        <f>M285+K288-F288</f>
        <v>1747.9699999999939</v>
      </c>
    </row>
    <row r="258" spans="1:13" x14ac:dyDescent="0.25">
      <c r="M258" s="252" t="s">
        <v>38</v>
      </c>
    </row>
    <row r="259" spans="1:13" x14ac:dyDescent="0.25">
      <c r="M259" s="251">
        <v>10.5</v>
      </c>
    </row>
    <row r="260" spans="1:13" x14ac:dyDescent="0.25">
      <c r="L260" t="s">
        <v>65</v>
      </c>
      <c r="M260" s="251">
        <v>48</v>
      </c>
    </row>
    <row r="261" spans="1:13" x14ac:dyDescent="0.25">
      <c r="A261" s="252" t="s">
        <v>1</v>
      </c>
      <c r="B261" s="252" t="s">
        <v>2</v>
      </c>
      <c r="C261" s="252" t="s">
        <v>4</v>
      </c>
      <c r="D261" s="253" t="s">
        <v>5</v>
      </c>
      <c r="E261" s="253" t="s">
        <v>94</v>
      </c>
      <c r="F261" s="253" t="s">
        <v>60</v>
      </c>
      <c r="G261" s="252" t="s">
        <v>3</v>
      </c>
      <c r="H261" s="252" t="s">
        <v>6</v>
      </c>
      <c r="I261" s="253" t="s">
        <v>7</v>
      </c>
      <c r="J261" s="253" t="s">
        <v>95</v>
      </c>
      <c r="K261" s="253" t="s">
        <v>61</v>
      </c>
      <c r="L261" s="252" t="s">
        <v>37</v>
      </c>
      <c r="M261" s="251">
        <v>60</v>
      </c>
    </row>
    <row r="262" spans="1:13" x14ac:dyDescent="0.25">
      <c r="A262" s="254" t="s">
        <v>195</v>
      </c>
      <c r="B262" s="255">
        <v>42482</v>
      </c>
      <c r="C262" s="250">
        <v>80</v>
      </c>
      <c r="D262" s="251">
        <v>36.01</v>
      </c>
      <c r="E262" s="251">
        <v>0</v>
      </c>
      <c r="F262" s="251">
        <f t="shared" ref="F262:F282" si="247">D262*C262+E262</f>
        <v>2880.7999999999997</v>
      </c>
      <c r="G262" s="255">
        <v>42514</v>
      </c>
      <c r="H262" s="250">
        <v>40</v>
      </c>
      <c r="I262" s="251">
        <v>35.35</v>
      </c>
      <c r="J262" s="251">
        <v>0.03</v>
      </c>
      <c r="K262" s="251">
        <f>I262*H262-J262</f>
        <v>1413.97</v>
      </c>
      <c r="L262" s="255">
        <v>42522</v>
      </c>
      <c r="M262" s="250"/>
    </row>
    <row r="263" spans="1:13" x14ac:dyDescent="0.25">
      <c r="A263" s="257" t="s">
        <v>71</v>
      </c>
      <c r="B263" s="255">
        <v>42482</v>
      </c>
      <c r="C263" s="250">
        <v>20</v>
      </c>
      <c r="D263" s="251">
        <v>35.549999999999997</v>
      </c>
      <c r="E263" s="251">
        <v>0</v>
      </c>
      <c r="F263" s="251">
        <f t="shared" si="247"/>
        <v>711</v>
      </c>
      <c r="G263" s="250"/>
      <c r="H263" s="250"/>
      <c r="I263" s="251"/>
      <c r="J263" s="251"/>
      <c r="K263" s="251"/>
      <c r="L263" s="255">
        <v>42614</v>
      </c>
      <c r="M263" s="250"/>
    </row>
    <row r="264" spans="1:13" x14ac:dyDescent="0.25">
      <c r="A264" s="250"/>
      <c r="B264" s="255">
        <v>42508</v>
      </c>
      <c r="C264" s="250">
        <v>40</v>
      </c>
      <c r="D264" s="251">
        <v>34.19</v>
      </c>
      <c r="E264" s="251">
        <v>0</v>
      </c>
      <c r="F264" s="251">
        <f t="shared" si="247"/>
        <v>1367.6</v>
      </c>
      <c r="G264" s="255">
        <v>42521</v>
      </c>
      <c r="H264" s="256">
        <v>40</v>
      </c>
      <c r="I264" s="251">
        <v>35.99</v>
      </c>
      <c r="J264" s="251">
        <v>0.03</v>
      </c>
      <c r="K264" s="251">
        <f t="shared" ref="K264:K279" si="248">I264*H264-J264</f>
        <v>1439.5700000000002</v>
      </c>
      <c r="L264" s="255">
        <v>42706</v>
      </c>
      <c r="M264" s="250"/>
    </row>
    <row r="265" spans="1:13" x14ac:dyDescent="0.25">
      <c r="A265" s="250"/>
      <c r="B265" s="255">
        <v>42509</v>
      </c>
      <c r="C265" s="250">
        <v>100</v>
      </c>
      <c r="D265" s="251">
        <v>34.49</v>
      </c>
      <c r="E265" s="251">
        <v>0</v>
      </c>
      <c r="F265" s="251">
        <f t="shared" si="247"/>
        <v>3449</v>
      </c>
      <c r="G265" s="255">
        <v>42531</v>
      </c>
      <c r="H265" s="256">
        <v>100</v>
      </c>
      <c r="I265" s="251">
        <v>36.99</v>
      </c>
      <c r="J265" s="251">
        <v>0.08</v>
      </c>
      <c r="K265" s="251">
        <f t="shared" si="248"/>
        <v>3698.92</v>
      </c>
      <c r="L265" s="250"/>
      <c r="M265" s="250"/>
    </row>
    <row r="266" spans="1:13" x14ac:dyDescent="0.25">
      <c r="A266" s="250"/>
      <c r="B266" s="255">
        <v>42536</v>
      </c>
      <c r="C266" s="250">
        <v>100</v>
      </c>
      <c r="D266" s="251">
        <v>35.39</v>
      </c>
      <c r="E266" s="251">
        <v>0</v>
      </c>
      <c r="F266" s="251">
        <f t="shared" si="247"/>
        <v>3539</v>
      </c>
      <c r="G266" s="255">
        <v>42594</v>
      </c>
      <c r="H266" s="256">
        <v>100</v>
      </c>
      <c r="I266" s="251">
        <v>32.58</v>
      </c>
      <c r="J266" s="251">
        <v>7.0000000000000007E-2</v>
      </c>
      <c r="K266" s="251">
        <f t="shared" si="248"/>
        <v>3257.93</v>
      </c>
      <c r="L266" s="250"/>
      <c r="M266" s="250"/>
    </row>
    <row r="267" spans="1:13" x14ac:dyDescent="0.25">
      <c r="A267" s="250"/>
      <c r="B267" s="255">
        <v>42579</v>
      </c>
      <c r="C267" s="250">
        <v>40</v>
      </c>
      <c r="D267" s="251">
        <v>35</v>
      </c>
      <c r="E267" s="251">
        <v>0</v>
      </c>
      <c r="F267" s="251">
        <f t="shared" si="247"/>
        <v>1400</v>
      </c>
      <c r="G267" s="255">
        <v>42671</v>
      </c>
      <c r="H267" s="256">
        <v>100</v>
      </c>
      <c r="I267" s="251">
        <v>31.32</v>
      </c>
      <c r="J267" s="251">
        <v>7.0000000000000007E-2</v>
      </c>
      <c r="K267" s="251">
        <f t="shared" si="248"/>
        <v>3131.93</v>
      </c>
      <c r="L267" s="250"/>
      <c r="M267" s="250"/>
    </row>
    <row r="268" spans="1:13" x14ac:dyDescent="0.25">
      <c r="A268" s="250"/>
      <c r="B268" s="255">
        <v>42579</v>
      </c>
      <c r="C268" s="250">
        <v>30</v>
      </c>
      <c r="D268" s="251">
        <v>34.57</v>
      </c>
      <c r="E268" s="251">
        <v>-7.0000000000000007E-2</v>
      </c>
      <c r="F268" s="251">
        <f t="shared" si="247"/>
        <v>1037.03</v>
      </c>
      <c r="G268" s="255">
        <v>42676</v>
      </c>
      <c r="H268" s="256">
        <v>200</v>
      </c>
      <c r="I268" s="251">
        <v>31.83</v>
      </c>
      <c r="J268" s="251">
        <v>0.14000000000000001</v>
      </c>
      <c r="K268" s="251">
        <f t="shared" si="248"/>
        <v>6365.86</v>
      </c>
      <c r="L268" s="250"/>
      <c r="M268" s="250"/>
    </row>
    <row r="269" spans="1:13" x14ac:dyDescent="0.25">
      <c r="A269" s="250"/>
      <c r="B269" s="255">
        <v>42580</v>
      </c>
      <c r="C269" s="250">
        <v>30</v>
      </c>
      <c r="D269" s="251">
        <v>33.880000000000003</v>
      </c>
      <c r="E269" s="251">
        <v>0</v>
      </c>
      <c r="F269" s="251">
        <f t="shared" si="247"/>
        <v>1016.4000000000001</v>
      </c>
      <c r="G269" s="255">
        <v>42676</v>
      </c>
      <c r="H269" s="256">
        <v>100</v>
      </c>
      <c r="I269" s="251">
        <v>31.98</v>
      </c>
      <c r="J269" s="251">
        <v>7.0000000000000007E-2</v>
      </c>
      <c r="K269" s="251">
        <f t="shared" si="248"/>
        <v>3197.93</v>
      </c>
      <c r="L269" s="250"/>
      <c r="M269" s="250"/>
    </row>
    <row r="270" spans="1:13" x14ac:dyDescent="0.25">
      <c r="A270" s="250"/>
      <c r="B270" s="255">
        <v>42584</v>
      </c>
      <c r="C270" s="250">
        <v>40</v>
      </c>
      <c r="D270" s="251">
        <v>33.049999999999997</v>
      </c>
      <c r="E270" s="251">
        <v>0</v>
      </c>
      <c r="F270" s="251">
        <f t="shared" si="247"/>
        <v>1322</v>
      </c>
      <c r="G270" s="255">
        <v>42676</v>
      </c>
      <c r="H270" s="256">
        <v>100</v>
      </c>
      <c r="I270" s="251">
        <v>32.18</v>
      </c>
      <c r="J270" s="251">
        <v>7.0000000000000007E-2</v>
      </c>
      <c r="K270" s="251">
        <f t="shared" si="248"/>
        <v>3217.93</v>
      </c>
      <c r="L270" s="250"/>
      <c r="M270" s="250"/>
    </row>
    <row r="271" spans="1:13" x14ac:dyDescent="0.25">
      <c r="A271" s="250"/>
      <c r="B271" s="255">
        <v>42586</v>
      </c>
      <c r="C271" s="250">
        <v>100</v>
      </c>
      <c r="D271" s="251">
        <v>32.479999999999997</v>
      </c>
      <c r="E271" s="251">
        <v>0</v>
      </c>
      <c r="F271" s="251">
        <f t="shared" si="247"/>
        <v>3247.9999999999995</v>
      </c>
      <c r="G271" s="255">
        <v>42676</v>
      </c>
      <c r="H271" s="256">
        <v>100</v>
      </c>
      <c r="I271" s="251">
        <v>32.229999999999997</v>
      </c>
      <c r="J271" s="251">
        <v>7.0000000000000007E-2</v>
      </c>
      <c r="K271" s="251">
        <f t="shared" si="248"/>
        <v>3222.9299999999994</v>
      </c>
      <c r="L271" s="250"/>
      <c r="M271" s="250"/>
    </row>
    <row r="272" spans="1:13" x14ac:dyDescent="0.25">
      <c r="A272" s="250"/>
      <c r="B272" s="255">
        <v>42593</v>
      </c>
      <c r="C272" s="250">
        <v>100</v>
      </c>
      <c r="D272" s="251">
        <v>32.049999999999997</v>
      </c>
      <c r="E272" s="251">
        <v>0</v>
      </c>
      <c r="F272" s="251">
        <f t="shared" si="247"/>
        <v>3204.9999999999995</v>
      </c>
      <c r="G272" s="255">
        <v>42683</v>
      </c>
      <c r="H272" s="256">
        <v>100</v>
      </c>
      <c r="I272" s="251">
        <v>32.33</v>
      </c>
      <c r="J272" s="251">
        <v>7.0000000000000007E-2</v>
      </c>
      <c r="K272" s="251">
        <f t="shared" si="248"/>
        <v>3232.93</v>
      </c>
      <c r="L272" s="250"/>
      <c r="M272" s="250"/>
    </row>
    <row r="273" spans="1:13" x14ac:dyDescent="0.25">
      <c r="A273" s="250"/>
      <c r="B273" s="255">
        <v>42599</v>
      </c>
      <c r="C273" s="250">
        <v>100</v>
      </c>
      <c r="D273" s="251">
        <v>31.68</v>
      </c>
      <c r="E273" s="251">
        <v>0</v>
      </c>
      <c r="F273" s="251">
        <f t="shared" si="247"/>
        <v>3168</v>
      </c>
      <c r="G273" s="255">
        <v>42683</v>
      </c>
      <c r="H273" s="256">
        <v>200</v>
      </c>
      <c r="I273" s="251">
        <v>32.08</v>
      </c>
      <c r="J273" s="251">
        <v>0.14000000000000001</v>
      </c>
      <c r="K273" s="251">
        <f t="shared" si="248"/>
        <v>6415.86</v>
      </c>
      <c r="L273" s="250"/>
      <c r="M273" s="250"/>
    </row>
    <row r="274" spans="1:13" x14ac:dyDescent="0.25">
      <c r="A274" s="250"/>
      <c r="B274" s="255">
        <v>42620</v>
      </c>
      <c r="C274" s="250">
        <v>100</v>
      </c>
      <c r="D274" s="251">
        <v>31.65</v>
      </c>
      <c r="E274" s="251">
        <v>0</v>
      </c>
      <c r="F274" s="251">
        <f t="shared" si="247"/>
        <v>3165</v>
      </c>
      <c r="G274" s="255">
        <v>42684</v>
      </c>
      <c r="H274" s="256">
        <v>100</v>
      </c>
      <c r="I274" s="251">
        <v>32.950000000000003</v>
      </c>
      <c r="J274" s="251">
        <v>7.0000000000000007E-2</v>
      </c>
      <c r="K274" s="251">
        <f t="shared" si="248"/>
        <v>3294.9300000000003</v>
      </c>
      <c r="L274" s="250"/>
      <c r="M274" s="250"/>
    </row>
    <row r="275" spans="1:13" x14ac:dyDescent="0.25">
      <c r="A275" s="250"/>
      <c r="B275" s="255">
        <v>42620</v>
      </c>
      <c r="C275" s="250">
        <v>100</v>
      </c>
      <c r="D275" s="251">
        <v>31.18</v>
      </c>
      <c r="E275" s="251">
        <v>0</v>
      </c>
      <c r="F275" s="251">
        <f t="shared" si="247"/>
        <v>3118</v>
      </c>
      <c r="G275" s="255">
        <v>42712</v>
      </c>
      <c r="H275" s="256">
        <v>100</v>
      </c>
      <c r="I275" s="251">
        <v>34.22</v>
      </c>
      <c r="J275" s="251">
        <v>7.0000000000000007E-2</v>
      </c>
      <c r="K275" s="251">
        <f t="shared" si="248"/>
        <v>3421.93</v>
      </c>
      <c r="L275" s="250"/>
      <c r="M275" s="250"/>
    </row>
    <row r="276" spans="1:13" x14ac:dyDescent="0.25">
      <c r="A276" s="250"/>
      <c r="B276" s="255">
        <v>42625</v>
      </c>
      <c r="C276" s="250">
        <v>100</v>
      </c>
      <c r="D276" s="251">
        <v>30.8</v>
      </c>
      <c r="E276" s="251">
        <v>0</v>
      </c>
      <c r="F276" s="251">
        <f t="shared" si="247"/>
        <v>3080</v>
      </c>
      <c r="G276" s="255">
        <v>42713</v>
      </c>
      <c r="H276" s="256">
        <v>100</v>
      </c>
      <c r="I276" s="251">
        <v>34.79</v>
      </c>
      <c r="J276" s="251">
        <v>0.08</v>
      </c>
      <c r="K276" s="251">
        <f t="shared" si="248"/>
        <v>3478.92</v>
      </c>
      <c r="L276" s="250"/>
      <c r="M276" s="250"/>
    </row>
    <row r="277" spans="1:13" x14ac:dyDescent="0.25">
      <c r="A277" s="250"/>
      <c r="B277" s="255">
        <v>42639</v>
      </c>
      <c r="C277" s="250">
        <v>100</v>
      </c>
      <c r="D277" s="251">
        <v>30.08</v>
      </c>
      <c r="E277" s="251">
        <v>0</v>
      </c>
      <c r="F277" s="251">
        <f t="shared" si="247"/>
        <v>3008</v>
      </c>
      <c r="G277" s="255">
        <v>42718</v>
      </c>
      <c r="H277" s="256">
        <v>100</v>
      </c>
      <c r="I277" s="251">
        <v>35.21</v>
      </c>
      <c r="J277" s="251">
        <v>0.57999999999999996</v>
      </c>
      <c r="K277" s="251">
        <f t="shared" si="248"/>
        <v>3520.42</v>
      </c>
      <c r="L277" s="250"/>
      <c r="M277" s="250"/>
    </row>
    <row r="278" spans="1:13" x14ac:dyDescent="0.25">
      <c r="A278" s="250"/>
      <c r="B278" s="255">
        <v>42646</v>
      </c>
      <c r="C278" s="250">
        <v>100</v>
      </c>
      <c r="D278" s="251">
        <v>29.4</v>
      </c>
      <c r="E278" s="251">
        <v>0</v>
      </c>
      <c r="F278" s="251">
        <f t="shared" si="247"/>
        <v>2940</v>
      </c>
      <c r="G278" s="255">
        <v>42718</v>
      </c>
      <c r="H278" s="256">
        <v>100</v>
      </c>
      <c r="I278" s="251">
        <v>34.9</v>
      </c>
      <c r="J278" s="251">
        <v>0.08</v>
      </c>
      <c r="K278" s="251">
        <f t="shared" si="248"/>
        <v>3489.92</v>
      </c>
      <c r="L278" s="250"/>
      <c r="M278" s="250"/>
    </row>
    <row r="279" spans="1:13" x14ac:dyDescent="0.25">
      <c r="A279" s="250"/>
      <c r="B279" s="255">
        <v>42674</v>
      </c>
      <c r="C279" s="250">
        <v>100</v>
      </c>
      <c r="D279" s="251">
        <v>31.1</v>
      </c>
      <c r="E279" s="251">
        <v>0</v>
      </c>
      <c r="F279" s="251">
        <f t="shared" si="247"/>
        <v>3110</v>
      </c>
      <c r="G279" s="255">
        <v>42752</v>
      </c>
      <c r="H279" s="256">
        <v>100</v>
      </c>
      <c r="I279" s="251">
        <v>34.659999999999997</v>
      </c>
      <c r="J279" s="251">
        <v>0.08</v>
      </c>
      <c r="K279" s="251">
        <f t="shared" si="248"/>
        <v>3465.9199999999996</v>
      </c>
      <c r="L279" s="250"/>
      <c r="M279" s="250"/>
    </row>
    <row r="280" spans="1:13" x14ac:dyDescent="0.25">
      <c r="A280" s="250"/>
      <c r="B280" s="255">
        <v>42677</v>
      </c>
      <c r="C280" s="250">
        <v>200</v>
      </c>
      <c r="D280" s="251">
        <v>31.68</v>
      </c>
      <c r="E280" s="251">
        <v>0</v>
      </c>
      <c r="F280" s="251">
        <f t="shared" si="247"/>
        <v>6336</v>
      </c>
      <c r="G280" s="250"/>
      <c r="H280" s="250"/>
      <c r="I280" s="251"/>
      <c r="J280" s="251"/>
      <c r="K280" s="251"/>
      <c r="L280" s="250"/>
      <c r="M280" s="250"/>
    </row>
    <row r="281" spans="1:13" x14ac:dyDescent="0.25">
      <c r="A281" s="250"/>
      <c r="B281" s="255">
        <v>42677</v>
      </c>
      <c r="C281" s="250">
        <v>100</v>
      </c>
      <c r="D281" s="251">
        <v>31.2</v>
      </c>
      <c r="E281" s="251">
        <v>-0.5</v>
      </c>
      <c r="F281" s="251">
        <f t="shared" si="247"/>
        <v>3119.5</v>
      </c>
      <c r="G281" s="250"/>
      <c r="H281" s="250"/>
      <c r="I281" s="251"/>
      <c r="J281" s="251"/>
      <c r="K281" s="251"/>
      <c r="L281" s="250"/>
      <c r="M281" s="250"/>
    </row>
    <row r="282" spans="1:13" x14ac:dyDescent="0.25">
      <c r="A282" s="250"/>
      <c r="B282" s="255">
        <v>42716</v>
      </c>
      <c r="C282" s="250">
        <v>100</v>
      </c>
      <c r="D282" s="251">
        <v>34.18</v>
      </c>
      <c r="E282" s="251">
        <v>0</v>
      </c>
      <c r="F282" s="251">
        <f t="shared" si="247"/>
        <v>3418</v>
      </c>
      <c r="G282" s="250"/>
      <c r="H282" s="250"/>
      <c r="I282" s="251"/>
      <c r="J282" s="251"/>
      <c r="K282" s="251"/>
      <c r="L282" s="250"/>
      <c r="M282" s="250"/>
    </row>
    <row r="283" spans="1:13" x14ac:dyDescent="0.25">
      <c r="A283" s="250"/>
      <c r="B283" s="255"/>
      <c r="C283" s="250"/>
      <c r="D283" s="251"/>
      <c r="E283" s="251"/>
      <c r="F283" s="251"/>
      <c r="G283" s="250"/>
      <c r="H283" s="250"/>
      <c r="I283" s="251"/>
      <c r="J283" s="251"/>
      <c r="K283" s="251"/>
      <c r="L283" s="250"/>
      <c r="M283" s="250"/>
    </row>
    <row r="284" spans="1:13" x14ac:dyDescent="0.25">
      <c r="A284" s="250"/>
      <c r="B284" s="255"/>
      <c r="C284" s="250"/>
      <c r="D284" s="251"/>
      <c r="E284" s="251"/>
      <c r="F284" s="251"/>
      <c r="G284" s="250"/>
      <c r="H284" s="250"/>
      <c r="I284" s="251"/>
      <c r="J284" s="251"/>
      <c r="K284" s="251"/>
      <c r="L284" s="250"/>
      <c r="M284" s="250"/>
    </row>
    <row r="285" spans="1:13" x14ac:dyDescent="0.25">
      <c r="A285" s="250"/>
      <c r="B285" s="255"/>
      <c r="C285" s="250"/>
      <c r="D285" s="251"/>
      <c r="E285" s="251"/>
      <c r="F285" s="251"/>
      <c r="G285" s="250"/>
      <c r="H285" s="250"/>
      <c r="I285" s="251"/>
      <c r="J285" s="251"/>
      <c r="K285" s="251"/>
      <c r="L285" s="250"/>
      <c r="M285" s="18">
        <f>SUM(M259:M284)</f>
        <v>118.5</v>
      </c>
    </row>
    <row r="286" spans="1:13" x14ac:dyDescent="0.25">
      <c r="A286" s="250"/>
      <c r="B286" s="250"/>
      <c r="C286" s="250"/>
      <c r="D286" s="251"/>
      <c r="E286" s="251"/>
      <c r="F286" s="251"/>
      <c r="G286" s="250"/>
      <c r="H286" s="250"/>
      <c r="I286" s="251"/>
      <c r="J286" s="251"/>
      <c r="K286" s="251"/>
      <c r="L286" s="250"/>
    </row>
    <row r="287" spans="1:13" x14ac:dyDescent="0.25">
      <c r="A287" s="250"/>
      <c r="B287" s="250"/>
      <c r="C287" s="250"/>
      <c r="D287" s="251"/>
      <c r="E287" s="251"/>
      <c r="F287" s="251"/>
      <c r="G287" s="250"/>
      <c r="H287" s="250"/>
      <c r="I287" s="251"/>
      <c r="J287" s="251"/>
      <c r="K287" s="251"/>
      <c r="L287" s="250"/>
    </row>
    <row r="288" spans="1:13" x14ac:dyDescent="0.25">
      <c r="A288" s="31" t="s">
        <v>81</v>
      </c>
      <c r="B288" s="14"/>
      <c r="C288" s="14">
        <f>SUM(C262:C285)</f>
        <v>1780</v>
      </c>
      <c r="D288" s="18"/>
      <c r="E288" s="18"/>
      <c r="F288" s="18">
        <f>SUM(F262:F285)</f>
        <v>57638.33</v>
      </c>
      <c r="G288" s="14"/>
      <c r="H288" s="14">
        <f>SUM(H262:H287)</f>
        <v>1780</v>
      </c>
      <c r="I288" s="18"/>
      <c r="J288" s="18"/>
      <c r="K288" s="18">
        <f>SUM(K262:K287)</f>
        <v>59267.799999999996</v>
      </c>
      <c r="L288" s="14"/>
    </row>
  </sheetData>
  <mergeCells count="1">
    <mergeCell ref="O22:P22"/>
  </mergeCells>
  <conditionalFormatting sqref="O23:O43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3:F177 K94:K128 K132 K141:K142 F139:F142 H139:H142 F166:F167 H166:H167 K166:K167 K150:K151 H150:H152 F150:F152">
    <cfRule type="expression" dxfId="1886" priority="107">
      <formula>F94&gt;0</formula>
    </cfRule>
    <cfRule type="expression" dxfId="1885" priority="108">
      <formula>F94&lt;0</formula>
    </cfRule>
  </conditionalFormatting>
  <conditionalFormatting sqref="F178:F191 F194:F238 F241:F242">
    <cfRule type="expression" dxfId="1884" priority="103">
      <formula>F178&gt;0</formula>
    </cfRule>
    <cfRule type="expression" dxfId="1883" priority="104">
      <formula>F178&lt;0</formula>
    </cfRule>
  </conditionalFormatting>
  <conditionalFormatting sqref="F178:F191 F194:F238 F241:F242">
    <cfRule type="expression" dxfId="1882" priority="105">
      <formula>F178&gt;0</formula>
    </cfRule>
    <cfRule type="expression" dxfId="1881" priority="106">
      <formula>F178&lt;0</formula>
    </cfRule>
  </conditionalFormatting>
  <conditionalFormatting sqref="H173:H191 H194:H238 H241:H242">
    <cfRule type="expression" dxfId="1880" priority="101">
      <formula>H173&gt;0</formula>
    </cfRule>
    <cfRule type="expression" dxfId="1879" priority="102">
      <formula>H173&lt;0</formula>
    </cfRule>
  </conditionalFormatting>
  <conditionalFormatting sqref="F169:F172">
    <cfRule type="expression" dxfId="1878" priority="95">
      <formula>F169&gt;0</formula>
    </cfRule>
    <cfRule type="expression" dxfId="1877" priority="96">
      <formula>F169&lt;0</formula>
    </cfRule>
  </conditionalFormatting>
  <conditionalFormatting sqref="H169:H172">
    <cfRule type="expression" dxfId="1876" priority="93">
      <formula>H169&gt;0</formula>
    </cfRule>
    <cfRule type="expression" dxfId="1875" priority="94">
      <formula>H169&lt;0</formula>
    </cfRule>
  </conditionalFormatting>
  <conditionalFormatting sqref="Q8">
    <cfRule type="expression" dxfId="1874" priority="89">
      <formula>Q8&gt;0</formula>
    </cfRule>
    <cfRule type="expression" dxfId="1873" priority="90">
      <formula>Q8&lt;0</formula>
    </cfRule>
  </conditionalFormatting>
  <conditionalFormatting sqref="Q7">
    <cfRule type="expression" dxfId="1872" priority="91">
      <formula>Q7&gt;0</formula>
    </cfRule>
    <cfRule type="expression" dxfId="1871" priority="92">
      <formula>Q7&lt;0</formula>
    </cfRule>
  </conditionalFormatting>
  <conditionalFormatting sqref="F192">
    <cfRule type="expression" dxfId="1870" priority="85">
      <formula>F192&gt;0</formula>
    </cfRule>
    <cfRule type="expression" dxfId="1869" priority="86">
      <formula>F192&lt;0</formula>
    </cfRule>
  </conditionalFormatting>
  <conditionalFormatting sqref="F192">
    <cfRule type="expression" dxfId="1868" priority="87">
      <formula>F192&gt;0</formula>
    </cfRule>
    <cfRule type="expression" dxfId="1867" priority="88">
      <formula>F192&lt;0</formula>
    </cfRule>
  </conditionalFormatting>
  <conditionalFormatting sqref="H192">
    <cfRule type="expression" dxfId="1866" priority="83">
      <formula>H192&gt;0</formula>
    </cfRule>
    <cfRule type="expression" dxfId="1865" priority="84">
      <formula>H192&lt;0</formula>
    </cfRule>
  </conditionalFormatting>
  <conditionalFormatting sqref="F193">
    <cfRule type="expression" dxfId="1864" priority="79">
      <formula>F193&gt;0</formula>
    </cfRule>
    <cfRule type="expression" dxfId="1863" priority="80">
      <formula>F193&lt;0</formula>
    </cfRule>
  </conditionalFormatting>
  <conditionalFormatting sqref="F193">
    <cfRule type="expression" dxfId="1862" priority="81">
      <formula>F193&gt;0</formula>
    </cfRule>
    <cfRule type="expression" dxfId="1861" priority="82">
      <formula>F193&lt;0</formula>
    </cfRule>
  </conditionalFormatting>
  <conditionalFormatting sqref="H193">
    <cfRule type="expression" dxfId="1860" priority="77">
      <formula>H193&gt;0</formula>
    </cfRule>
    <cfRule type="expression" dxfId="1859" priority="78">
      <formula>H193&lt;0</formula>
    </cfRule>
  </conditionalFormatting>
  <conditionalFormatting sqref="F239:F240">
    <cfRule type="expression" dxfId="1858" priority="73">
      <formula>F239&gt;0</formula>
    </cfRule>
    <cfRule type="expression" dxfId="1857" priority="74">
      <formula>F239&lt;0</formula>
    </cfRule>
  </conditionalFormatting>
  <conditionalFormatting sqref="F239:F240">
    <cfRule type="expression" dxfId="1856" priority="75">
      <formula>F239&gt;0</formula>
    </cfRule>
    <cfRule type="expression" dxfId="1855" priority="76">
      <formula>F239&lt;0</formula>
    </cfRule>
  </conditionalFormatting>
  <conditionalFormatting sqref="H239:H240">
    <cfRule type="expression" dxfId="1854" priority="71">
      <formula>H239&gt;0</formula>
    </cfRule>
    <cfRule type="expression" dxfId="1853" priority="72">
      <formula>H239&lt;0</formula>
    </cfRule>
  </conditionalFormatting>
  <conditionalFormatting sqref="F64:F79">
    <cfRule type="expression" dxfId="1852" priority="69">
      <formula>F64&gt;0</formula>
    </cfRule>
    <cfRule type="expression" dxfId="1851" priority="70">
      <formula>F64&lt;0</formula>
    </cfRule>
  </conditionalFormatting>
  <conditionalFormatting sqref="H64:H79">
    <cfRule type="expression" dxfId="1850" priority="67">
      <formula>H64&gt;0</formula>
    </cfRule>
    <cfRule type="expression" dxfId="1849" priority="68">
      <formula>H64&lt;0</formula>
    </cfRule>
  </conditionalFormatting>
  <conditionalFormatting sqref="Q10">
    <cfRule type="expression" dxfId="1848" priority="65">
      <formula>Q10&gt;0</formula>
    </cfRule>
    <cfRule type="expression" dxfId="1847" priority="66">
      <formula>Q10&lt;0</formula>
    </cfRule>
  </conditionalFormatting>
  <conditionalFormatting sqref="J74:K74">
    <cfRule type="expression" dxfId="1846" priority="63">
      <formula>J74&gt;0</formula>
    </cfRule>
    <cfRule type="expression" dxfId="1845" priority="64">
      <formula>J74&lt;0</formula>
    </cfRule>
  </conditionalFormatting>
  <conditionalFormatting sqref="K75">
    <cfRule type="expression" dxfId="1844" priority="61">
      <formula>K75&gt;0</formula>
    </cfRule>
    <cfRule type="expression" dxfId="1843" priority="62">
      <formula>K75&lt;0</formula>
    </cfRule>
  </conditionalFormatting>
  <conditionalFormatting sqref="K76:K89">
    <cfRule type="expression" dxfId="1842" priority="59">
      <formula>K76&gt;0</formula>
    </cfRule>
    <cfRule type="expression" dxfId="1841" priority="60">
      <formula>K76&lt;0</formula>
    </cfRule>
  </conditionalFormatting>
  <conditionalFormatting sqref="F81:F89">
    <cfRule type="expression" dxfId="1840" priority="57">
      <formula>F81&gt;0</formula>
    </cfRule>
    <cfRule type="expression" dxfId="1839" priority="58">
      <formula>F81&lt;0</formula>
    </cfRule>
  </conditionalFormatting>
  <conditionalFormatting sqref="H81:H89">
    <cfRule type="expression" dxfId="1838" priority="55">
      <formula>H81&gt;0</formula>
    </cfRule>
    <cfRule type="expression" dxfId="1837" priority="56">
      <formula>H81&lt;0</formula>
    </cfRule>
  </conditionalFormatting>
  <conditionalFormatting sqref="R4">
    <cfRule type="expression" dxfId="1836" priority="53">
      <formula>R4&gt;0</formula>
    </cfRule>
    <cfRule type="expression" dxfId="1835" priority="54">
      <formula>R4&lt;0</formula>
    </cfRule>
  </conditionalFormatting>
  <conditionalFormatting sqref="Q9">
    <cfRule type="expression" dxfId="1834" priority="51">
      <formula>Q9&gt;0</formula>
    </cfRule>
    <cfRule type="expression" dxfId="1833" priority="52">
      <formula>Q9&lt;0</formula>
    </cfRule>
  </conditionalFormatting>
  <conditionalFormatting sqref="K90:K93">
    <cfRule type="expression" dxfId="1832" priority="49">
      <formula>K90&gt;0</formula>
    </cfRule>
    <cfRule type="expression" dxfId="1831" priority="50">
      <formula>K90&lt;0</formula>
    </cfRule>
  </conditionalFormatting>
  <conditionalFormatting sqref="F90:F113">
    <cfRule type="expression" dxfId="1830" priority="47">
      <formula>F90&gt;0</formula>
    </cfRule>
    <cfRule type="expression" dxfId="1829" priority="48">
      <formula>F90&lt;0</formula>
    </cfRule>
  </conditionalFormatting>
  <conditionalFormatting sqref="H90:H113">
    <cfRule type="expression" dxfId="1828" priority="45">
      <formula>H90&gt;0</formula>
    </cfRule>
    <cfRule type="expression" dxfId="1827" priority="46">
      <formula>H90&lt;0</formula>
    </cfRule>
  </conditionalFormatting>
  <conditionalFormatting sqref="W1:W3 W5:W6">
    <cfRule type="iconSet" priority="4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99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826" priority="41">
      <formula>F114&gt;0</formula>
    </cfRule>
    <cfRule type="expression" dxfId="1825" priority="42">
      <formula>F114&lt;0</formula>
    </cfRule>
  </conditionalFormatting>
  <conditionalFormatting sqref="H114:H138">
    <cfRule type="expression" dxfId="1824" priority="39">
      <formula>H114&gt;0</formula>
    </cfRule>
    <cfRule type="expression" dxfId="1823" priority="40">
      <formula>H114&lt;0</formula>
    </cfRule>
  </conditionalFormatting>
  <conditionalFormatting sqref="K129:K131">
    <cfRule type="expression" dxfId="1822" priority="37">
      <formula>K129&gt;0</formula>
    </cfRule>
    <cfRule type="expression" dxfId="1821" priority="38">
      <formula>K129&lt;0</formula>
    </cfRule>
  </conditionalFormatting>
  <conditionalFormatting sqref="K133:K135">
    <cfRule type="expression" dxfId="1820" priority="35">
      <formula>K133&gt;0</formula>
    </cfRule>
    <cfRule type="expression" dxfId="1819" priority="36">
      <formula>K133&lt;0</formula>
    </cfRule>
  </conditionalFormatting>
  <conditionalFormatting sqref="K140">
    <cfRule type="expression" dxfId="1818" priority="31">
      <formula>K140&gt;0</formula>
    </cfRule>
    <cfRule type="expression" dxfId="1817" priority="32">
      <formula>K140&lt;0</formula>
    </cfRule>
  </conditionalFormatting>
  <conditionalFormatting sqref="K136:K138">
    <cfRule type="expression" dxfId="1816" priority="29">
      <formula>K136&gt;0</formula>
    </cfRule>
    <cfRule type="expression" dxfId="1815" priority="30">
      <formula>K136&lt;0</formula>
    </cfRule>
  </conditionalFormatting>
  <conditionalFormatting sqref="K139">
    <cfRule type="expression" dxfId="1814" priority="23">
      <formula>K139&gt;0</formula>
    </cfRule>
    <cfRule type="expression" dxfId="1813" priority="24">
      <formula>K139&lt;0</formula>
    </cfRule>
  </conditionalFormatting>
  <conditionalFormatting sqref="H148:H149 F148:F149 K148:K149">
    <cfRule type="expression" dxfId="1812" priority="21">
      <formula>F148&gt;0</formula>
    </cfRule>
    <cfRule type="expression" dxfId="1811" priority="22">
      <formula>F148&lt;0</formula>
    </cfRule>
  </conditionalFormatting>
  <conditionalFormatting sqref="H143:H147 F143:F147 K143:K147">
    <cfRule type="expression" dxfId="1810" priority="19">
      <formula>F143&gt;0</formula>
    </cfRule>
    <cfRule type="expression" dxfId="1809" priority="20">
      <formula>F143&lt;0</formula>
    </cfRule>
  </conditionalFormatting>
  <conditionalFormatting sqref="F80">
    <cfRule type="expression" dxfId="1808" priority="17">
      <formula>F80&gt;0</formula>
    </cfRule>
    <cfRule type="expression" dxfId="1807" priority="18">
      <formula>F80&lt;0</formula>
    </cfRule>
  </conditionalFormatting>
  <conditionalFormatting sqref="H80">
    <cfRule type="expression" dxfId="1806" priority="15">
      <formula>H80&gt;0</formula>
    </cfRule>
    <cfRule type="expression" dxfId="1805" priority="16">
      <formula>H80&lt;0</formula>
    </cfRule>
  </conditionalFormatting>
  <conditionalFormatting sqref="F164:F165 H164:H165 K164:K165">
    <cfRule type="expression" dxfId="1804" priority="13">
      <formula>F164&gt;0</formula>
    </cfRule>
    <cfRule type="expression" dxfId="1803" priority="14">
      <formula>F164&lt;0</formula>
    </cfRule>
  </conditionalFormatting>
  <conditionalFormatting sqref="F162:F163 H162:H163 K162:K163">
    <cfRule type="expression" dxfId="1802" priority="11">
      <formula>F162&gt;0</formula>
    </cfRule>
    <cfRule type="expression" dxfId="1801" priority="12">
      <formula>F162&lt;0</formula>
    </cfRule>
  </conditionalFormatting>
  <conditionalFormatting sqref="F160:F161 H160:H161 K160:K161">
    <cfRule type="expression" dxfId="1800" priority="9">
      <formula>F160&gt;0</formula>
    </cfRule>
    <cfRule type="expression" dxfId="1799" priority="10">
      <formula>F160&lt;0</formula>
    </cfRule>
  </conditionalFormatting>
  <conditionalFormatting sqref="F158:F159 H158:H159 K158:K159">
    <cfRule type="expression" dxfId="1798" priority="7">
      <formula>F158&gt;0</formula>
    </cfRule>
    <cfRule type="expression" dxfId="1797" priority="8">
      <formula>F158&lt;0</formula>
    </cfRule>
  </conditionalFormatting>
  <conditionalFormatting sqref="F157 H157 K156:K157">
    <cfRule type="expression" dxfId="1796" priority="5">
      <formula>F156&gt;0</formula>
    </cfRule>
    <cfRule type="expression" dxfId="1795" priority="6">
      <formula>F156&lt;0</formula>
    </cfRule>
  </conditionalFormatting>
  <conditionalFormatting sqref="K154:K155 F154:F156 H154:H156">
    <cfRule type="expression" dxfId="1794" priority="3">
      <formula>F154&gt;0</formula>
    </cfRule>
    <cfRule type="expression" dxfId="1793" priority="4">
      <formula>F154&lt;0</formula>
    </cfRule>
  </conditionalFormatting>
  <conditionalFormatting sqref="F153 H153 K152:K153">
    <cfRule type="expression" dxfId="1792" priority="1">
      <formula>F152&gt;0</formula>
    </cfRule>
    <cfRule type="expression" dxfId="1791" priority="2">
      <formula>F152&lt;0</formula>
    </cfRule>
  </conditionalFormatting>
  <hyperlinks>
    <hyperlink ref="A3" location="ACTIVE!A1" display="Back"/>
    <hyperlink ref="A26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264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11.2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11.2</v>
      </c>
      <c r="R4" s="475">
        <v>1.3100000000000001E-2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51" t="s">
        <v>78</v>
      </c>
      <c r="P40" s="851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12.32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5">O42*$Q$4</f>
        <v>12.208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5"/>
        <v>12.096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5"/>
        <v>11.984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5"/>
        <v>11.872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5"/>
        <v>11.76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5"/>
        <v>11.648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5"/>
        <v>11.536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5"/>
        <v>11.423999999999999</v>
      </c>
      <c r="Q49" s="2"/>
      <c r="T49" s="91" t="s">
        <v>103</v>
      </c>
      <c r="U49" s="86" t="s">
        <v>370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5"/>
        <v>11.311999999999999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5"/>
        <v>11.2</v>
      </c>
      <c r="Q51" s="2"/>
      <c r="T51" s="91" t="s">
        <v>104</v>
      </c>
      <c r="U51" s="86" t="s">
        <v>587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11.087999999999999</v>
      </c>
      <c r="Q52" s="2"/>
      <c r="T52" s="91" t="s">
        <v>105</v>
      </c>
      <c r="U52" s="86" t="s">
        <v>387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10.975999999999999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10.863999999999999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10.751999999999999</v>
      </c>
      <c r="T55" s="91" t="s">
        <v>107</v>
      </c>
      <c r="U55" s="86" t="s">
        <v>588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5"/>
        <v>10.639999999999999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5"/>
        <v>10.527999999999999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5"/>
        <v>10.416</v>
      </c>
      <c r="T58" s="91" t="s">
        <v>108</v>
      </c>
      <c r="U58" s="86" t="s">
        <v>531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5"/>
        <v>10.304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6">C60*(E60-D60)</f>
        <v>22.969999999999935</v>
      </c>
      <c r="G60" s="251">
        <f t="shared" ref="G60:G95" si="7">D60*C60</f>
        <v>1329.03</v>
      </c>
      <c r="H60" s="265">
        <f t="shared" ref="H60:H95" si="8">(E60-D60)/D60</f>
        <v>1.7283281791983577E-2</v>
      </c>
      <c r="I60" s="251"/>
      <c r="O60" s="81">
        <v>0.91</v>
      </c>
      <c r="P60" s="81">
        <f t="shared" si="5"/>
        <v>10.192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6"/>
        <v>-11.030000000000051</v>
      </c>
      <c r="G61" s="251">
        <f t="shared" si="7"/>
        <v>1329.03</v>
      </c>
      <c r="H61" s="265">
        <f t="shared" si="8"/>
        <v>-8.2992859453887811E-3</v>
      </c>
      <c r="I61" s="251"/>
      <c r="O61" s="81">
        <v>0.9</v>
      </c>
      <c r="P61" s="81">
        <f t="shared" si="5"/>
        <v>10.08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6"/>
        <v>8.9700000000000557</v>
      </c>
      <c r="G62" s="251">
        <f t="shared" si="7"/>
        <v>1329.03</v>
      </c>
      <c r="H62" s="265">
        <f t="shared" si="8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6"/>
        <v>-44.999999999999929</v>
      </c>
      <c r="G63" s="251">
        <f t="shared" si="7"/>
        <v>1329</v>
      </c>
      <c r="H63" s="265">
        <f t="shared" si="8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6"/>
        <v>12.96999999999997</v>
      </c>
      <c r="G64" s="251">
        <f t="shared" si="7"/>
        <v>1329.03</v>
      </c>
      <c r="H64" s="265">
        <f t="shared" si="8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6"/>
        <v>-111.52500000000032</v>
      </c>
      <c r="G65" s="251">
        <f t="shared" si="7"/>
        <v>3241.5250000000001</v>
      </c>
      <c r="H65" s="265">
        <f t="shared" si="8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6"/>
        <v>-204.52000000000012</v>
      </c>
      <c r="G66" s="251">
        <f t="shared" si="7"/>
        <v>5068.5200000000004</v>
      </c>
      <c r="H66" s="265">
        <f t="shared" si="8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6"/>
        <v>19.480000000000075</v>
      </c>
      <c r="G67" s="251">
        <f t="shared" si="7"/>
        <v>5068.5200000000004</v>
      </c>
      <c r="H67" s="265">
        <f t="shared" si="8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6"/>
        <v>-108.52000000000004</v>
      </c>
      <c r="G68" s="251">
        <f t="shared" si="7"/>
        <v>5068.5200000000004</v>
      </c>
      <c r="H68" s="265">
        <f t="shared" si="8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6"/>
        <v>310.44000000000017</v>
      </c>
      <c r="G69" s="251">
        <f t="shared" si="7"/>
        <v>3760.56</v>
      </c>
      <c r="H69" s="265">
        <f t="shared" si="8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6"/>
        <v>334.44000000000023</v>
      </c>
      <c r="G70" s="251">
        <f t="shared" si="7"/>
        <v>3760.56</v>
      </c>
      <c r="H70" s="265">
        <f t="shared" si="8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6"/>
        <v>361.44000000000017</v>
      </c>
      <c r="G71" s="251">
        <f t="shared" si="7"/>
        <v>3760.56</v>
      </c>
      <c r="H71" s="265">
        <f t="shared" si="8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6"/>
        <v>415.44000000000005</v>
      </c>
      <c r="G72" s="251">
        <f t="shared" si="7"/>
        <v>3760.56</v>
      </c>
      <c r="H72" s="265">
        <f t="shared" si="8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6"/>
        <v>385.44000000000017</v>
      </c>
      <c r="G73" s="251">
        <f t="shared" si="7"/>
        <v>3760.56</v>
      </c>
      <c r="H73" s="265">
        <f t="shared" si="8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6"/>
        <v>393.42499999999967</v>
      </c>
      <c r="G74" s="251">
        <f t="shared" si="7"/>
        <v>3071.5750000000003</v>
      </c>
      <c r="H74" s="265">
        <f t="shared" si="8"/>
        <v>0.12808575405126024</v>
      </c>
      <c r="I74" s="550" t="s">
        <v>252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6"/>
        <v>105.92500000000004</v>
      </c>
      <c r="G75" s="251">
        <f t="shared" si="7"/>
        <v>3071.5750000000003</v>
      </c>
      <c r="H75" s="265">
        <f t="shared" si="8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6"/>
        <v>-86.575000000000287</v>
      </c>
      <c r="G76" s="251">
        <f t="shared" si="7"/>
        <v>3071.5750000000003</v>
      </c>
      <c r="H76" s="265">
        <f t="shared" si="8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6"/>
        <v>-9.0750000000001663</v>
      </c>
      <c r="G77" s="251">
        <f t="shared" si="7"/>
        <v>3071.5750000000003</v>
      </c>
      <c r="H77" s="265">
        <f t="shared" si="8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6"/>
        <v>35.924999999999763</v>
      </c>
      <c r="G78" s="251">
        <f t="shared" si="7"/>
        <v>3071.5750000000003</v>
      </c>
      <c r="H78" s="265">
        <f t="shared" si="8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6"/>
        <v>10.924999999999851</v>
      </c>
      <c r="G79" s="251">
        <f t="shared" si="7"/>
        <v>3071.5750000000003</v>
      </c>
      <c r="H79" s="265">
        <f t="shared" si="8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6"/>
        <v>25.924999999999976</v>
      </c>
      <c r="G80" s="251">
        <f t="shared" si="7"/>
        <v>3071.5750000000003</v>
      </c>
      <c r="H80" s="265">
        <f t="shared" si="8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6"/>
        <v>18.424999999999692</v>
      </c>
      <c r="G81" s="251">
        <f t="shared" si="7"/>
        <v>3071.5750000000003</v>
      </c>
      <c r="H81" s="265">
        <f t="shared" si="8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6"/>
        <v>45.924999999999997</v>
      </c>
      <c r="G82" s="251">
        <f t="shared" si="7"/>
        <v>3071.5750000000003</v>
      </c>
      <c r="H82" s="265">
        <f t="shared" si="8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6"/>
        <v>98.42500000000021</v>
      </c>
      <c r="G83" s="251">
        <f t="shared" si="7"/>
        <v>3026.5749999999998</v>
      </c>
      <c r="H83" s="265">
        <f t="shared" si="8"/>
        <v>3.252025804746296E-2</v>
      </c>
      <c r="I83" s="404" t="s">
        <v>262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6"/>
        <v>147.88499999999988</v>
      </c>
      <c r="G84" s="251">
        <f t="shared" si="7"/>
        <v>1757.115</v>
      </c>
      <c r="H84" s="265">
        <f t="shared" si="8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6"/>
        <v>152.38500000000005</v>
      </c>
      <c r="G85" s="251">
        <f t="shared" si="7"/>
        <v>1757.115</v>
      </c>
      <c r="H85" s="265">
        <f t="shared" si="8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6"/>
        <v>99.88500000000009</v>
      </c>
      <c r="G86" s="251">
        <f t="shared" si="7"/>
        <v>1757.115</v>
      </c>
      <c r="H86" s="265">
        <f t="shared" si="8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6"/>
        <v>147.88499999999988</v>
      </c>
      <c r="G87" s="251">
        <f t="shared" si="7"/>
        <v>1757.115</v>
      </c>
      <c r="H87" s="265">
        <f t="shared" si="8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6"/>
        <v>63.90000000000029</v>
      </c>
      <c r="G88" s="251">
        <f t="shared" si="7"/>
        <v>2971.1</v>
      </c>
      <c r="H88" s="265">
        <f t="shared" si="8"/>
        <v>2.1507185890747633E-2</v>
      </c>
      <c r="I88" s="404" t="s">
        <v>275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6"/>
        <v>148.90000000000026</v>
      </c>
      <c r="G89" s="251">
        <f t="shared" si="7"/>
        <v>2971.1</v>
      </c>
      <c r="H89" s="265">
        <f t="shared" si="8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6"/>
        <v>126.40000000000029</v>
      </c>
      <c r="G90" s="251">
        <f t="shared" si="7"/>
        <v>2971.1</v>
      </c>
      <c r="H90" s="265">
        <f t="shared" si="8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6"/>
        <v>-8.599999999999941</v>
      </c>
      <c r="G91" s="251">
        <f t="shared" si="7"/>
        <v>2971.1</v>
      </c>
      <c r="H91" s="265">
        <f t="shared" si="8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6"/>
        <v>-24.119999999999742</v>
      </c>
      <c r="G92" s="251">
        <f t="shared" si="7"/>
        <v>5307.12</v>
      </c>
      <c r="H92" s="265">
        <f t="shared" si="8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6"/>
        <v>-177.11999999999966</v>
      </c>
      <c r="G93" s="251">
        <f t="shared" si="7"/>
        <v>5307.12</v>
      </c>
      <c r="H93" s="265">
        <f t="shared" si="8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6"/>
        <v>85.819999999999652</v>
      </c>
      <c r="G94" s="251">
        <f t="shared" si="7"/>
        <v>2322.1800000000003</v>
      </c>
      <c r="H94" s="265">
        <f t="shared" si="8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6"/>
        <v>163.31999999999988</v>
      </c>
      <c r="G95" s="251">
        <f t="shared" si="7"/>
        <v>2284.6800000000003</v>
      </c>
      <c r="H95" s="265">
        <f t="shared" si="8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90" priority="31">
      <formula>Q7&gt;0</formula>
    </cfRule>
    <cfRule type="expression" dxfId="1789" priority="32">
      <formula>Q7&lt;0</formula>
    </cfRule>
  </conditionalFormatting>
  <conditionalFormatting sqref="Q8">
    <cfRule type="expression" dxfId="1788" priority="29">
      <formula>Q8&gt;0</formula>
    </cfRule>
    <cfRule type="expression" dxfId="1787" priority="30">
      <formula>Q8&lt;0</formula>
    </cfRule>
  </conditionalFormatting>
  <conditionalFormatting sqref="F62:F65">
    <cfRule type="expression" dxfId="1786" priority="21">
      <formula>F62&gt;0</formula>
    </cfRule>
    <cfRule type="expression" dxfId="1785" priority="22">
      <formula>F62&lt;0</formula>
    </cfRule>
  </conditionalFormatting>
  <conditionalFormatting sqref="F66:F74 F78:F98 F102:F106">
    <cfRule type="expression" dxfId="1784" priority="17">
      <formula>F66&gt;0</formula>
    </cfRule>
    <cfRule type="expression" dxfId="1783" priority="18">
      <formula>F66&lt;0</formula>
    </cfRule>
  </conditionalFormatting>
  <conditionalFormatting sqref="F66:F74 F78:F98 F102:F106">
    <cfRule type="expression" dxfId="1782" priority="19">
      <formula>F66&gt;0</formula>
    </cfRule>
    <cfRule type="expression" dxfId="1781" priority="20">
      <formula>F66&lt;0</formula>
    </cfRule>
  </conditionalFormatting>
  <conditionalFormatting sqref="H62:H74 H78:H98 H102:H106">
    <cfRule type="expression" dxfId="1780" priority="15">
      <formula>H62&gt;0</formula>
    </cfRule>
    <cfRule type="expression" dxfId="1779" priority="16">
      <formula>H62&lt;0</formula>
    </cfRule>
  </conditionalFormatting>
  <conditionalFormatting sqref="F57:F61">
    <cfRule type="expression" dxfId="1778" priority="13">
      <formula>F57&gt;0</formula>
    </cfRule>
    <cfRule type="expression" dxfId="1777" priority="14">
      <formula>F57&lt;0</formula>
    </cfRule>
  </conditionalFormatting>
  <conditionalFormatting sqref="H57:H61">
    <cfRule type="expression" dxfId="1776" priority="11">
      <formula>H57&gt;0</formula>
    </cfRule>
    <cfRule type="expression" dxfId="1775" priority="12">
      <formula>H57&lt;0</formula>
    </cfRule>
  </conditionalFormatting>
  <conditionalFormatting sqref="F75:F77">
    <cfRule type="expression" dxfId="1774" priority="7">
      <formula>F75&gt;0</formula>
    </cfRule>
    <cfRule type="expression" dxfId="1773" priority="8">
      <formula>F75&lt;0</formula>
    </cfRule>
  </conditionalFormatting>
  <conditionalFormatting sqref="F75:F77">
    <cfRule type="expression" dxfId="1772" priority="9">
      <formula>F75&gt;0</formula>
    </cfRule>
    <cfRule type="expression" dxfId="1771" priority="10">
      <formula>F75&lt;0</formula>
    </cfRule>
  </conditionalFormatting>
  <conditionalFormatting sqref="H75:H77">
    <cfRule type="expression" dxfId="1770" priority="5">
      <formula>H75&gt;0</formula>
    </cfRule>
    <cfRule type="expression" dxfId="1769" priority="6">
      <formula>H75&lt;0</formula>
    </cfRule>
  </conditionalFormatting>
  <conditionalFormatting sqref="F22:F30">
    <cfRule type="expression" dxfId="1768" priority="3">
      <formula>F22&gt;0</formula>
    </cfRule>
    <cfRule type="expression" dxfId="1767" priority="4">
      <formula>F22&lt;0</formula>
    </cfRule>
  </conditionalFormatting>
  <conditionalFormatting sqref="F99:F101">
    <cfRule type="expression" dxfId="1766" priority="1">
      <formula>F99&gt;0</formula>
    </cfRule>
    <cfRule type="expression" dxfId="1765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269</v>
      </c>
      <c r="B2" s="477">
        <v>43249</v>
      </c>
      <c r="C2" s="4">
        <v>50</v>
      </c>
      <c r="D2" s="3">
        <v>119.88</v>
      </c>
      <c r="E2" s="3">
        <v>0</v>
      </c>
      <c r="F2" s="3">
        <f>C2*D2+E2</f>
        <v>5994</v>
      </c>
      <c r="G2" s="477"/>
      <c r="H2" s="176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119.88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126.04989999999999</v>
      </c>
      <c r="R4" s="475">
        <v>2.3E-3</v>
      </c>
      <c r="T4" s="817">
        <v>43288</v>
      </c>
      <c r="U4" s="1" t="s">
        <v>1206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6302.4949999999999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5994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463.27499999999964</v>
      </c>
      <c r="R7">
        <v>50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308.49499999999989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5.1467300633967282E-2</v>
      </c>
    </row>
    <row r="10" spans="1:21" x14ac:dyDescent="0.25">
      <c r="G10" s="29"/>
      <c r="H10" s="70"/>
      <c r="O10" s="11" t="s">
        <v>207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1010</v>
      </c>
      <c r="Q12" s="1" t="s">
        <v>1173</v>
      </c>
    </row>
    <row r="13" spans="1:21" x14ac:dyDescent="0.25">
      <c r="G13" s="29"/>
      <c r="H13" s="70"/>
      <c r="O13" s="11" t="s">
        <v>973</v>
      </c>
      <c r="Q13" s="2">
        <f>Q4/8.12</f>
        <v>15.523386699507389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50</v>
      </c>
      <c r="D18" s="18"/>
      <c r="E18" s="18"/>
      <c r="F18" s="18">
        <f>SUM(F2:F6)</f>
        <v>5994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(E25-D25)*C25</f>
        <v>-23.999999999999488</v>
      </c>
      <c r="G25" s="39"/>
      <c r="H25" s="222"/>
      <c r="I25" s="39"/>
    </row>
    <row r="26" spans="1:13" x14ac:dyDescent="0.25">
      <c r="A26" s="4"/>
      <c r="B26" s="150"/>
      <c r="C26" s="10"/>
      <c r="D26" s="39"/>
      <c r="E26" s="39"/>
      <c r="F26" s="39"/>
      <c r="G26" s="39"/>
      <c r="H26" s="222"/>
      <c r="I26" s="39"/>
    </row>
    <row r="27" spans="1:13" x14ac:dyDescent="0.25">
      <c r="A27" s="4"/>
      <c r="B27" s="150"/>
      <c r="C27" s="10"/>
      <c r="D27" s="39"/>
      <c r="E27" s="39"/>
      <c r="F27" s="39"/>
      <c r="G27" s="39"/>
      <c r="H27" s="222"/>
      <c r="I27" s="39"/>
    </row>
    <row r="28" spans="1:13" x14ac:dyDescent="0.25">
      <c r="A28" s="4"/>
      <c r="B28" s="150"/>
      <c r="C28" s="10"/>
      <c r="D28" s="39"/>
      <c r="E28" s="39"/>
      <c r="F28" s="39"/>
      <c r="G28" s="39"/>
      <c r="H28" s="222"/>
      <c r="I28" s="39"/>
    </row>
    <row r="29" spans="1:13" x14ac:dyDescent="0.25">
      <c r="A29" s="4"/>
      <c r="B29" s="150"/>
      <c r="C29" s="10"/>
      <c r="D29" s="39"/>
      <c r="E29" s="39"/>
      <c r="F29" s="39"/>
      <c r="G29" s="39"/>
      <c r="H29" s="222"/>
      <c r="I29" s="39"/>
    </row>
    <row r="30" spans="1:13" x14ac:dyDescent="0.25">
      <c r="A30" s="4"/>
      <c r="B30" s="150"/>
      <c r="C30" s="10"/>
      <c r="D30" s="39"/>
      <c r="E30" s="39"/>
      <c r="F30" s="39"/>
      <c r="G30" s="39"/>
      <c r="H30" s="222"/>
      <c r="I30" s="39"/>
    </row>
    <row r="31" spans="1:13" x14ac:dyDescent="0.25">
      <c r="A31" s="4"/>
      <c r="B31" s="150"/>
      <c r="C31" s="10"/>
      <c r="D31" s="39"/>
      <c r="E31" s="39"/>
      <c r="F31" s="39"/>
      <c r="G31" s="39"/>
      <c r="H31" s="222"/>
      <c r="I31" s="39"/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O40" s="851" t="s">
        <v>78</v>
      </c>
      <c r="P40" s="851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138.65488999999999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137.39439100000001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136.133892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134.87339299999999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133.61289400000001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132.352395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O47" s="81">
        <v>1.04</v>
      </c>
      <c r="P47" s="81">
        <f t="shared" si="0"/>
        <v>131.09189599999999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129.83139700000001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128.570898</v>
      </c>
      <c r="Q49" s="2"/>
      <c r="T49" s="91" t="s">
        <v>103</v>
      </c>
      <c r="U49" s="127" t="s">
        <v>355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127.31039899999999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126.04989999999999</v>
      </c>
      <c r="Q51" s="2"/>
      <c r="T51" s="91" t="s">
        <v>104</v>
      </c>
      <c r="U51" s="127" t="s">
        <v>589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124.789401</v>
      </c>
      <c r="Q52" s="2"/>
      <c r="T52" s="91" t="s">
        <v>105</v>
      </c>
      <c r="U52" s="127" t="s">
        <v>590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123.52890199999999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0"/>
        <v>122.26840299999999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0"/>
        <v>121.007904</v>
      </c>
      <c r="T55" s="91" t="s">
        <v>107</v>
      </c>
      <c r="U55" s="127" t="s">
        <v>591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0"/>
        <v>119.74740499999999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0"/>
        <v>118.48690599999999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0"/>
        <v>117.22640699999999</v>
      </c>
      <c r="T58" s="91" t="s">
        <v>108</v>
      </c>
      <c r="U58" s="127" t="s">
        <v>538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0"/>
        <v>115.965908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0"/>
        <v>114.705409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0"/>
        <v>113.44490999999999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269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359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397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414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64" priority="19">
      <formula>F25&gt;0</formula>
    </cfRule>
    <cfRule type="expression" dxfId="1763" priority="20">
      <formula>F25&lt;0</formula>
    </cfRule>
  </conditionalFormatting>
  <conditionalFormatting sqref="Q7">
    <cfRule type="expression" dxfId="1762" priority="17">
      <formula>Q7&gt;0</formula>
    </cfRule>
    <cfRule type="expression" dxfId="1761" priority="18">
      <formula>Q7&lt;0</formula>
    </cfRule>
  </conditionalFormatting>
  <conditionalFormatting sqref="Q8">
    <cfRule type="expression" dxfId="1760" priority="15">
      <formula>Q8&gt;0</formula>
    </cfRule>
    <cfRule type="expression" dxfId="1759" priority="16">
      <formula>Q8&lt;0</formula>
    </cfRule>
  </conditionalFormatting>
  <conditionalFormatting sqref="M74">
    <cfRule type="expression" dxfId="1758" priority="9">
      <formula>M74&gt;0</formula>
    </cfRule>
    <cfRule type="expression" dxfId="1757" priority="10">
      <formula>M74&lt;0</formula>
    </cfRule>
  </conditionalFormatting>
  <conditionalFormatting sqref="F113:F149 H113:H149">
    <cfRule type="expression" dxfId="1756" priority="7">
      <formula>F113&gt;0</formula>
    </cfRule>
    <cfRule type="expression" dxfId="1755" priority="8">
      <formula>F113&lt;0</formula>
    </cfRule>
  </conditionalFormatting>
  <conditionalFormatting sqref="F105:F112">
    <cfRule type="expression" dxfId="1754" priority="5">
      <formula>F105&gt;0</formula>
    </cfRule>
    <cfRule type="expression" dxfId="1753" priority="6">
      <formula>F105&lt;0</formula>
    </cfRule>
  </conditionalFormatting>
  <conditionalFormatting sqref="H105:H112">
    <cfRule type="expression" dxfId="1752" priority="3">
      <formula>H105&gt;0</formula>
    </cfRule>
    <cfRule type="expression" dxfId="1751" priority="4">
      <formula>H105&lt;0</formula>
    </cfRule>
  </conditionalFormatting>
  <conditionalFormatting sqref="Q10">
    <cfRule type="expression" dxfId="1750" priority="1">
      <formula>Q10&gt;0</formula>
    </cfRule>
    <cfRule type="expression" dxfId="1749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5" si="1">H2*I2-J2</f>
        <v>2379.9499999999998</v>
      </c>
      <c r="L2" s="72"/>
      <c r="M2" s="3"/>
      <c r="O2" s="11" t="s">
        <v>57</v>
      </c>
      <c r="Q2" s="228">
        <f>C29-H29</f>
        <v>30</v>
      </c>
      <c r="T2" s="1">
        <v>43080</v>
      </c>
      <c r="U2" t="s">
        <v>817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110.19166666666715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250.69990000000001</v>
      </c>
      <c r="R4" s="495">
        <v>3.3300000000000003E-2</v>
      </c>
      <c r="T4" s="770">
        <v>43103</v>
      </c>
      <c r="U4" s="30" t="s">
        <v>1038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7520.9970000000003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3305.7500000000146</v>
      </c>
      <c r="T6" s="1">
        <v>43140</v>
      </c>
      <c r="U6" t="s">
        <v>927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4440.0169999999862</v>
      </c>
      <c r="R7" s="29">
        <v>43307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4215.2469999999857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208</v>
      </c>
      <c r="Q9" s="134">
        <f>IF(Q2=0, 0, Q8/Q6)</f>
        <v>1.2751257657112507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207</v>
      </c>
      <c r="P10" s="33"/>
      <c r="Q10" s="2">
        <f>M84</f>
        <v>224.77000000000044</v>
      </c>
      <c r="U10" t="s">
        <v>982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946</v>
      </c>
      <c r="Q12" s="1" t="s">
        <v>1169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973</v>
      </c>
      <c r="Q13" s="2">
        <f>Q4/(8.16*1.2)</f>
        <v>25.602522467320263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</row>
    <row r="15" spans="1:21" x14ac:dyDescent="0.25">
      <c r="A15" t="s">
        <v>968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ht="20.25" thickBot="1" x14ac:dyDescent="0.35">
      <c r="A16" t="s">
        <v>968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1" si="4">C16*D16+E16</f>
        <v>1084.4000000000001</v>
      </c>
      <c r="H16" s="70"/>
      <c r="O16" s="851" t="s">
        <v>78</v>
      </c>
      <c r="P16" s="851"/>
    </row>
    <row r="17" spans="1:21" ht="15.75" thickTop="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4"/>
        <v>8675.2000000000007</v>
      </c>
      <c r="O17" s="81">
        <v>1.1000000000000001</v>
      </c>
      <c r="P17" s="81">
        <f>O17*$Q$4</f>
        <v>275.76989000000003</v>
      </c>
      <c r="T17" s="1">
        <v>43257</v>
      </c>
      <c r="U17" t="s">
        <v>1037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4"/>
        <v>6230.4000000000005</v>
      </c>
      <c r="O18" s="81">
        <v>1.0900000000000001</v>
      </c>
      <c r="P18" s="81">
        <f t="shared" ref="P18:P37" si="5">O18*$Q$4</f>
        <v>273.26289100000002</v>
      </c>
    </row>
    <row r="19" spans="1:21" x14ac:dyDescent="0.25">
      <c r="B19" s="434">
        <v>43210</v>
      </c>
      <c r="C19" s="7">
        <v>15</v>
      </c>
      <c r="D19" s="43">
        <v>233.08</v>
      </c>
      <c r="E19" s="43">
        <v>0</v>
      </c>
      <c r="F19" s="43">
        <f t="shared" si="4"/>
        <v>3496.2000000000003</v>
      </c>
      <c r="O19" s="81">
        <v>1.08</v>
      </c>
      <c r="P19" s="81">
        <f t="shared" si="5"/>
        <v>270.75589200000002</v>
      </c>
      <c r="T19" s="1">
        <v>43285</v>
      </c>
      <c r="U19" t="s">
        <v>1170</v>
      </c>
    </row>
    <row r="20" spans="1:21" x14ac:dyDescent="0.25">
      <c r="B20" s="474">
        <v>43276</v>
      </c>
      <c r="C20" s="4">
        <v>15</v>
      </c>
      <c r="D20" s="3">
        <v>242</v>
      </c>
      <c r="E20" s="3">
        <v>0</v>
      </c>
      <c r="F20" s="3">
        <f t="shared" si="4"/>
        <v>3630</v>
      </c>
      <c r="O20" s="81">
        <v>1.07</v>
      </c>
      <c r="P20" s="81">
        <f t="shared" si="5"/>
        <v>268.24889300000001</v>
      </c>
      <c r="T20" s="1">
        <v>43288</v>
      </c>
      <c r="U20" t="s">
        <v>1202</v>
      </c>
    </row>
    <row r="21" spans="1:21" x14ac:dyDescent="0.25">
      <c r="B21" s="474">
        <v>43283</v>
      </c>
      <c r="C21" s="4">
        <v>15</v>
      </c>
      <c r="D21" s="3">
        <v>231</v>
      </c>
      <c r="E21" s="3">
        <v>0</v>
      </c>
      <c r="F21" s="3">
        <f t="shared" si="4"/>
        <v>3465</v>
      </c>
      <c r="O21" s="81">
        <v>1.06</v>
      </c>
      <c r="P21" s="81">
        <f t="shared" si="5"/>
        <v>265.741894</v>
      </c>
    </row>
    <row r="22" spans="1:21" x14ac:dyDescent="0.25">
      <c r="C22" s="4"/>
      <c r="D22" s="3"/>
      <c r="E22" s="3"/>
      <c r="F22" s="3"/>
      <c r="O22" s="81">
        <v>1.05</v>
      </c>
      <c r="P22" s="81">
        <f t="shared" si="5"/>
        <v>263.23489500000005</v>
      </c>
      <c r="T22" s="156">
        <v>43314</v>
      </c>
      <c r="U22" t="s">
        <v>1200</v>
      </c>
    </row>
    <row r="23" spans="1:21" x14ac:dyDescent="0.25">
      <c r="C23" s="4"/>
      <c r="D23" s="3"/>
      <c r="E23" s="3"/>
      <c r="F23" s="3"/>
      <c r="O23" s="81">
        <v>1.04</v>
      </c>
      <c r="P23" s="81">
        <f t="shared" si="5"/>
        <v>260.72789600000004</v>
      </c>
    </row>
    <row r="24" spans="1:21" x14ac:dyDescent="0.25">
      <c r="O24" s="81">
        <v>1.03</v>
      </c>
      <c r="P24" s="81">
        <f t="shared" si="5"/>
        <v>258.22089700000004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1.02</v>
      </c>
      <c r="P25" s="81">
        <f t="shared" si="5"/>
        <v>255.71389800000003</v>
      </c>
    </row>
    <row r="26" spans="1:21" x14ac:dyDescent="0.25">
      <c r="O26" s="81">
        <v>1.01</v>
      </c>
      <c r="P26" s="81">
        <f t="shared" si="5"/>
        <v>253.20689900000002</v>
      </c>
    </row>
    <row r="27" spans="1:21" x14ac:dyDescent="0.25">
      <c r="C27" s="4"/>
      <c r="D27" s="3"/>
      <c r="E27" s="3"/>
      <c r="F27" s="3"/>
      <c r="O27" s="81">
        <v>1</v>
      </c>
      <c r="P27" s="81">
        <f t="shared" si="5"/>
        <v>250.69990000000001</v>
      </c>
    </row>
    <row r="28" spans="1:21" x14ac:dyDescent="0.25">
      <c r="O28" s="81">
        <v>0.99</v>
      </c>
      <c r="P28" s="81">
        <f t="shared" si="5"/>
        <v>248.19290100000001</v>
      </c>
    </row>
    <row r="29" spans="1:21" x14ac:dyDescent="0.25">
      <c r="A29" s="31" t="s">
        <v>81</v>
      </c>
      <c r="B29" s="14"/>
      <c r="C29" s="14">
        <f>SUM(C2:C27)</f>
        <v>355</v>
      </c>
      <c r="D29" s="18"/>
      <c r="E29" s="18"/>
      <c r="F29" s="18">
        <f>SUM(F2:F27)</f>
        <v>75608.600000000006</v>
      </c>
      <c r="G29" s="14"/>
      <c r="H29" s="71">
        <f>SUM(H2:H28)</f>
        <v>325</v>
      </c>
      <c r="I29" s="18"/>
      <c r="J29" s="18"/>
      <c r="K29" s="18">
        <f>SUM(K2:K28)</f>
        <v>72302.849999999991</v>
      </c>
      <c r="L29" s="14"/>
      <c r="M29" s="18">
        <f>SUM(M2:M10)</f>
        <v>0</v>
      </c>
      <c r="O29" s="81">
        <v>0.98</v>
      </c>
      <c r="P29" s="81">
        <f t="shared" si="5"/>
        <v>245.685902</v>
      </c>
    </row>
    <row r="30" spans="1:21" ht="15.75" thickBot="1" x14ac:dyDescent="0.3">
      <c r="A30" s="341" t="s">
        <v>193</v>
      </c>
      <c r="B30" s="342"/>
      <c r="C30" s="343">
        <f>SumByColor($A$30,C2:C28)</f>
        <v>325</v>
      </c>
      <c r="D30" s="343"/>
      <c r="E30" s="343"/>
      <c r="F30" s="344">
        <f>SumByColor($A$30,F2:F28)</f>
        <v>68513</v>
      </c>
      <c r="G30" s="343"/>
      <c r="H30" s="343">
        <f>SumByColor($A$30,H2:H28)</f>
        <v>325</v>
      </c>
      <c r="I30" s="343"/>
      <c r="J30" s="343"/>
      <c r="K30" s="344">
        <f>SumByColor($A$30,K2:K28)</f>
        <v>72303</v>
      </c>
      <c r="L30" s="343"/>
      <c r="M30" s="344">
        <f>SumByColor($A$30,M2:M28)</f>
        <v>0</v>
      </c>
      <c r="O30" s="81">
        <v>0.97</v>
      </c>
      <c r="P30" s="81">
        <f t="shared" si="5"/>
        <v>243.17890300000002</v>
      </c>
    </row>
    <row r="31" spans="1:21" x14ac:dyDescent="0.25">
      <c r="O31" s="81">
        <v>0.96</v>
      </c>
      <c r="P31" s="81">
        <f t="shared" si="5"/>
        <v>240.67190400000001</v>
      </c>
    </row>
    <row r="32" spans="1:21" x14ac:dyDescent="0.25">
      <c r="O32" s="81">
        <v>0.95</v>
      </c>
      <c r="P32" s="81">
        <f t="shared" si="5"/>
        <v>238.164905</v>
      </c>
    </row>
    <row r="33" spans="1:17" x14ac:dyDescent="0.25">
      <c r="O33" s="81">
        <v>0.94</v>
      </c>
      <c r="P33" s="81">
        <f t="shared" si="5"/>
        <v>235.657906</v>
      </c>
    </row>
    <row r="34" spans="1:17" x14ac:dyDescent="0.25">
      <c r="O34" s="81">
        <v>0.93</v>
      </c>
      <c r="P34" s="81">
        <f t="shared" si="5"/>
        <v>233.15090700000002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497</v>
      </c>
      <c r="L35" s="220" t="s">
        <v>973</v>
      </c>
      <c r="O35" s="81">
        <v>0.92</v>
      </c>
      <c r="P35" s="81">
        <f t="shared" si="5"/>
        <v>230.64390800000001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" si="6">C36*(E36-D36)</f>
        <v>277.80000000000058</v>
      </c>
      <c r="G36" s="39">
        <f t="shared" ref="G36" si="7">D36*C36</f>
        <v>5679.5999999999995</v>
      </c>
      <c r="H36" s="222">
        <f t="shared" ref="H36" si="8">(E36-D36)/D36</f>
        <v>4.8911895203887702E-2</v>
      </c>
      <c r="I36" s="39"/>
      <c r="J36" s="39"/>
      <c r="K36" s="39"/>
      <c r="L36" s="39"/>
      <c r="O36" s="81">
        <v>0.91</v>
      </c>
      <c r="P36" s="81">
        <f t="shared" si="5"/>
        <v>228.13690900000003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ref="F37" si="9">C37*(E37-D37)</f>
        <v>391.20000000000061</v>
      </c>
      <c r="G37" s="39">
        <f t="shared" ref="G37" si="10">D37*C37</f>
        <v>5679.5999999999995</v>
      </c>
      <c r="H37" s="222">
        <f t="shared" ref="H37" si="11">(E37-D37)/D37</f>
        <v>6.8878090006338585E-2</v>
      </c>
      <c r="I37" s="39"/>
      <c r="J37" s="39"/>
      <c r="K37" s="39"/>
      <c r="L37" s="39"/>
      <c r="O37" s="81">
        <v>0.9</v>
      </c>
      <c r="P37" s="81">
        <f t="shared" si="5"/>
        <v>225.62991000000002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ref="F38" si="12">C38*(E38-D38)</f>
        <v>1209.3000000000002</v>
      </c>
      <c r="G38" s="39">
        <f t="shared" ref="G38" si="13">D38*C38</f>
        <v>5679.5999999999995</v>
      </c>
      <c r="H38" s="222">
        <f t="shared" ref="H38" si="14">(E38-D38)/D38</f>
        <v>0.21291992393830553</v>
      </c>
      <c r="I38" s="39"/>
      <c r="J38" s="39">
        <f>F38+$M$84</f>
        <v>1434.0700000000006</v>
      </c>
      <c r="K38" s="39"/>
      <c r="L38" s="155"/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ref="F39" si="15">C39*(E39-D39)</f>
        <v>1602.7500000000005</v>
      </c>
      <c r="G39" s="39">
        <f t="shared" ref="G39" si="16">D39*C39</f>
        <v>3299.6499999999996</v>
      </c>
      <c r="H39" s="222">
        <f t="shared" ref="H39" si="17">(E39-D39)/D39</f>
        <v>0.4857333353537498</v>
      </c>
      <c r="I39" s="39"/>
      <c r="J39" s="39">
        <f>F39+$M$84</f>
        <v>1827.5200000000009</v>
      </c>
      <c r="K39" s="39"/>
      <c r="L39" s="155"/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ref="F40:F44" si="18">C40*(E40-D40)</f>
        <v>1459.5500000000004</v>
      </c>
      <c r="G40" s="39">
        <f t="shared" ref="G40:G44" si="19">D40*C40</f>
        <v>3299.6499999999996</v>
      </c>
      <c r="H40" s="222">
        <f t="shared" ref="H40:H44" si="20">(E40-D40)/D40</f>
        <v>0.44233479308411516</v>
      </c>
      <c r="I40" s="39"/>
      <c r="J40" s="39">
        <f>F40+$M$84</f>
        <v>1684.3200000000008</v>
      </c>
      <c r="K40" s="39"/>
      <c r="L40" s="155"/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18"/>
        <v>1307.5509999999999</v>
      </c>
      <c r="G41" s="39">
        <f t="shared" si="19"/>
        <v>6782.3489999999993</v>
      </c>
      <c r="H41" s="222">
        <f t="shared" si="20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18"/>
        <v>1487.77</v>
      </c>
      <c r="G42" s="39">
        <f t="shared" si="19"/>
        <v>3259.23</v>
      </c>
      <c r="H42" s="222">
        <f t="shared" si="20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18"/>
        <v>1457.9214999999999</v>
      </c>
      <c r="G43" s="39">
        <f t="shared" si="19"/>
        <v>6767.4285</v>
      </c>
      <c r="H43" s="222">
        <f t="shared" si="20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18"/>
        <v>1239.3180000000002</v>
      </c>
      <c r="G44" s="39">
        <f t="shared" si="19"/>
        <v>9056.232</v>
      </c>
      <c r="H44" s="222">
        <f t="shared" si="20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21">C45*(E45-D45)</f>
        <v>1037.7180000000008</v>
      </c>
      <c r="G45" s="39">
        <f t="shared" ref="G45:G50" si="22">D45*C45</f>
        <v>9056.232</v>
      </c>
      <c r="H45" s="222">
        <f t="shared" ref="H45:H50" si="23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21"/>
        <v>810.7000000000005</v>
      </c>
      <c r="G46" s="39">
        <f t="shared" si="22"/>
        <v>11256.3</v>
      </c>
      <c r="H46" s="222">
        <f t="shared" si="23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21"/>
        <v>1249.0000000000009</v>
      </c>
      <c r="G47" s="39">
        <f t="shared" si="22"/>
        <v>20610</v>
      </c>
      <c r="H47" s="222">
        <f t="shared" si="23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21"/>
        <v>1371.6999999999998</v>
      </c>
      <c r="G48" s="39">
        <f t="shared" si="22"/>
        <v>22668.800000000003</v>
      </c>
      <c r="H48" s="222">
        <f t="shared" si="23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228">
        <v>55</v>
      </c>
      <c r="D49" s="229">
        <v>195.89</v>
      </c>
      <c r="E49" s="39">
        <v>218.55</v>
      </c>
      <c r="F49" s="39">
        <f t="shared" si="21"/>
        <v>1246.3000000000013</v>
      </c>
      <c r="G49" s="39">
        <f t="shared" si="22"/>
        <v>10773.949999999999</v>
      </c>
      <c r="H49" s="222">
        <f t="shared" si="23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21"/>
        <v>869.19999999999789</v>
      </c>
      <c r="G50" s="39">
        <f t="shared" si="22"/>
        <v>20078.800000000003</v>
      </c>
      <c r="H50" s="222">
        <f t="shared" si="23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 t="shared" ref="F51" si="24">C51*(E51-D51)</f>
        <v>236.19999999999948</v>
      </c>
      <c r="G51" s="39">
        <f t="shared" ref="G51" si="25">D51*C51</f>
        <v>20078.800000000003</v>
      </c>
      <c r="H51" s="222">
        <f t="shared" ref="H51" si="26"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 t="shared" ref="F52:F54" si="27">C52*(E52-D52)</f>
        <v>632.20000000000027</v>
      </c>
      <c r="G52" s="39">
        <f t="shared" ref="G52:G54" si="28">D52*C52</f>
        <v>20078.800000000003</v>
      </c>
      <c r="H52" s="222">
        <f t="shared" ref="H52:H54" si="29"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 t="shared" si="27"/>
        <v>-195.54600000000022</v>
      </c>
      <c r="G53" s="39">
        <f t="shared" si="28"/>
        <v>23072.495999999999</v>
      </c>
      <c r="H53" s="222">
        <f t="shared" si="29"/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 t="shared" si="27"/>
        <v>-650</v>
      </c>
      <c r="G54" s="39">
        <f t="shared" si="28"/>
        <v>25997.399999999998</v>
      </c>
      <c r="H54" s="222">
        <f t="shared" si="29"/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30">C55*(E55-D55)</f>
        <v>31.200000000001182</v>
      </c>
      <c r="G55" s="39">
        <f t="shared" ref="G55:G60" si="31">D55*C55</f>
        <v>25997.399999999998</v>
      </c>
      <c r="H55" s="222">
        <f t="shared" ref="H55:H60" si="32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30"/>
        <v>718.00000000000068</v>
      </c>
      <c r="G56" s="39">
        <f t="shared" si="31"/>
        <v>19832</v>
      </c>
      <c r="H56" s="222">
        <f t="shared" si="32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30"/>
        <v>1485.7500000000002</v>
      </c>
      <c r="G57" s="39">
        <f t="shared" si="31"/>
        <v>14502.75</v>
      </c>
      <c r="H57" s="222">
        <f t="shared" si="32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30"/>
        <v>1105.0000000000011</v>
      </c>
      <c r="G58" s="39">
        <f t="shared" si="31"/>
        <v>19735</v>
      </c>
      <c r="H58" s="222">
        <f t="shared" si="32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228">
        <v>55</v>
      </c>
      <c r="D59" s="229">
        <v>178</v>
      </c>
      <c r="E59" s="39">
        <v>221.88</v>
      </c>
      <c r="F59" s="39">
        <f t="shared" si="30"/>
        <v>2413.3999999999996</v>
      </c>
      <c r="G59" s="39">
        <f t="shared" si="31"/>
        <v>9790</v>
      </c>
      <c r="H59" s="222">
        <f t="shared" si="32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30"/>
        <v>2137.9999999999995</v>
      </c>
      <c r="G60" s="39">
        <f t="shared" si="31"/>
        <v>19550</v>
      </c>
      <c r="H60" s="222">
        <f t="shared" si="32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 t="shared" ref="F61" si="33">C61*(E61-D61)</f>
        <v>1240.0000000000005</v>
      </c>
      <c r="G61" s="39">
        <f t="shared" ref="G61" si="34">D61*C61</f>
        <v>19550</v>
      </c>
      <c r="H61" s="222">
        <f t="shared" ref="H61" si="35"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36">C62*(E62-D62)</f>
        <v>941.99999999999875</v>
      </c>
      <c r="G62" s="39">
        <f t="shared" ref="G62:G68" si="37">D62*C62</f>
        <v>19550</v>
      </c>
      <c r="H62" s="222">
        <f t="shared" ref="H62:H68" si="38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36"/>
        <v>1630.3000000000015</v>
      </c>
      <c r="G63" s="39">
        <f t="shared" si="37"/>
        <v>13195.699999999999</v>
      </c>
      <c r="H63" s="222">
        <f t="shared" si="38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36"/>
        <v>1342.0000000000016</v>
      </c>
      <c r="G64" s="39">
        <f t="shared" si="37"/>
        <v>19426</v>
      </c>
      <c r="H64" s="222">
        <f t="shared" si="38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36"/>
        <v>1421.7000000000003</v>
      </c>
      <c r="G65" s="39">
        <f t="shared" si="37"/>
        <v>13156.5</v>
      </c>
      <c r="H65" s="222">
        <f t="shared" si="38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228">
        <v>55</v>
      </c>
      <c r="D66" s="229">
        <v>175.01</v>
      </c>
      <c r="E66" s="39">
        <v>235.4</v>
      </c>
      <c r="F66" s="39">
        <f t="shared" si="36"/>
        <v>3321.4500000000007</v>
      </c>
      <c r="G66" s="39">
        <f t="shared" si="37"/>
        <v>9625.5499999999993</v>
      </c>
      <c r="H66" s="222">
        <f t="shared" si="38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36"/>
        <v>3194.1000000000017</v>
      </c>
      <c r="G67" s="39">
        <f t="shared" si="37"/>
        <v>13121.5</v>
      </c>
      <c r="H67" s="222">
        <f t="shared" si="38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228">
        <v>55</v>
      </c>
      <c r="D68" s="229">
        <v>174.3</v>
      </c>
      <c r="E68" s="39">
        <v>233.68</v>
      </c>
      <c r="F68" s="39">
        <f t="shared" si="36"/>
        <v>3265.8999999999996</v>
      </c>
      <c r="G68" s="39">
        <f t="shared" si="37"/>
        <v>9586.5</v>
      </c>
      <c r="H68" s="222">
        <f t="shared" si="38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36"/>
        <v>3801.5505000000003</v>
      </c>
      <c r="G69" s="39">
        <f t="shared" ref="G69:G72" si="39">D69*C69</f>
        <v>7160.8995000000004</v>
      </c>
      <c r="H69" s="222">
        <f t="shared" ref="H69:H76" si="40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36"/>
        <v>4035.6000000000004</v>
      </c>
      <c r="G70" s="39">
        <f t="shared" si="39"/>
        <v>7160.8499999999995</v>
      </c>
      <c r="H70" s="222">
        <f t="shared" si="40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36"/>
        <v>4140.951</v>
      </c>
      <c r="G71" s="39">
        <f t="shared" si="39"/>
        <v>3397.4490000000001</v>
      </c>
      <c r="H71" s="222">
        <f t="shared" si="40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36"/>
        <v>3844.8000000000011</v>
      </c>
      <c r="G72" s="39">
        <f t="shared" si="39"/>
        <v>7027.65</v>
      </c>
      <c r="H72" s="222">
        <f t="shared" si="40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6" si="41">C73*(E73-D73)</f>
        <v>3594.6000000000013</v>
      </c>
      <c r="G73" s="39">
        <f t="shared" ref="G73:G76" si="42">D73*C73</f>
        <v>7027.65</v>
      </c>
      <c r="H73" s="222">
        <f t="shared" si="40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10">
        <v>60</v>
      </c>
      <c r="D74" s="39">
        <v>174.87</v>
      </c>
      <c r="E74" s="39">
        <v>232.54</v>
      </c>
      <c r="F74" s="39">
        <f t="shared" si="41"/>
        <v>3460.1999999999994</v>
      </c>
      <c r="G74" s="39">
        <f t="shared" si="42"/>
        <v>10492.2</v>
      </c>
      <c r="H74" s="222">
        <f t="shared" si="40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41"/>
        <v>3609.3015000000005</v>
      </c>
      <c r="G75" s="39">
        <f t="shared" si="42"/>
        <v>6965.6984999999995</v>
      </c>
      <c r="H75" s="222">
        <f t="shared" si="40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41"/>
        <v>4014.3</v>
      </c>
      <c r="G76" s="39">
        <f t="shared" si="42"/>
        <v>3305.7</v>
      </c>
      <c r="H76" s="222">
        <f t="shared" si="40"/>
        <v>1.2143570196932572</v>
      </c>
      <c r="I76" s="39"/>
      <c r="J76" s="39">
        <v>4239</v>
      </c>
      <c r="K76" s="39"/>
      <c r="L76" s="39"/>
    </row>
    <row r="77" spans="1:12" x14ac:dyDescent="0.25">
      <c r="A77" s="4"/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12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12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12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184"/>
      <c r="C81" s="10"/>
      <c r="D81" s="39"/>
      <c r="E81" s="39"/>
      <c r="F81" s="39"/>
      <c r="G81" s="39"/>
      <c r="H81" s="222"/>
      <c r="I81" s="39"/>
      <c r="J81" s="39"/>
      <c r="K81" s="39"/>
      <c r="L81" s="39"/>
    </row>
    <row r="82" spans="1:13" x14ac:dyDescent="0.25">
      <c r="A82" s="4"/>
      <c r="B82" s="184"/>
      <c r="C82" s="10"/>
      <c r="D82" s="39"/>
      <c r="E82" s="39"/>
      <c r="F82" s="39"/>
      <c r="G82" s="39"/>
      <c r="H82" s="222"/>
      <c r="I82" s="39"/>
      <c r="J82" s="39"/>
      <c r="K82" s="39"/>
      <c r="L82" s="39"/>
    </row>
    <row r="83" spans="1:13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</row>
    <row r="84" spans="1:13" x14ac:dyDescent="0.25">
      <c r="A84" s="563"/>
      <c r="B84" s="563"/>
      <c r="C84" s="563"/>
      <c r="D84" s="564"/>
      <c r="E84" s="564"/>
      <c r="F84" s="564"/>
      <c r="G84" s="563"/>
      <c r="H84" s="563"/>
      <c r="I84" s="564"/>
      <c r="J84" s="564"/>
      <c r="K84" s="564"/>
      <c r="L84" s="563" t="s">
        <v>65</v>
      </c>
      <c r="M84" s="564">
        <f>M102+K102-F102</f>
        <v>224.77000000000044</v>
      </c>
    </row>
    <row r="85" spans="1:13" x14ac:dyDescent="0.25">
      <c r="A85" s="685" t="s">
        <v>1</v>
      </c>
      <c r="B85" s="685" t="s">
        <v>2</v>
      </c>
      <c r="C85" s="685" t="s">
        <v>4</v>
      </c>
      <c r="D85" s="686" t="s">
        <v>5</v>
      </c>
      <c r="E85" s="686" t="s">
        <v>94</v>
      </c>
      <c r="F85" s="686" t="s">
        <v>60</v>
      </c>
      <c r="G85" s="685" t="s">
        <v>3</v>
      </c>
      <c r="H85" s="685" t="s">
        <v>6</v>
      </c>
      <c r="I85" s="686" t="s">
        <v>7</v>
      </c>
      <c r="J85" s="686" t="s">
        <v>95</v>
      </c>
      <c r="K85" s="686" t="s">
        <v>61</v>
      </c>
      <c r="L85" s="685" t="s">
        <v>37</v>
      </c>
      <c r="M85" s="685" t="s">
        <v>38</v>
      </c>
    </row>
    <row r="86" spans="1:13" x14ac:dyDescent="0.25">
      <c r="A86" s="687" t="s">
        <v>694</v>
      </c>
      <c r="B86" s="566">
        <v>42972</v>
      </c>
      <c r="C86" s="563">
        <v>15</v>
      </c>
      <c r="D86" s="564">
        <v>210.01</v>
      </c>
      <c r="E86" s="564">
        <v>0</v>
      </c>
      <c r="F86" s="564">
        <f>C86*D86+E86</f>
        <v>3150.1499999999996</v>
      </c>
      <c r="G86" s="566">
        <v>43005</v>
      </c>
      <c r="H86" s="563">
        <v>15</v>
      </c>
      <c r="I86" s="564">
        <v>225</v>
      </c>
      <c r="J86" s="564">
        <v>0.08</v>
      </c>
      <c r="K86" s="564">
        <f>H86*I86-J86</f>
        <v>3374.92</v>
      </c>
      <c r="L86" s="566"/>
      <c r="M86" s="564"/>
    </row>
    <row r="87" spans="1:13" x14ac:dyDescent="0.25">
      <c r="A87" s="688"/>
      <c r="B87" s="566"/>
      <c r="C87" s="563"/>
      <c r="D87" s="564"/>
      <c r="E87" s="564"/>
      <c r="F87" s="564"/>
      <c r="G87" s="566"/>
      <c r="H87" s="565"/>
      <c r="I87" s="564"/>
      <c r="J87" s="564"/>
      <c r="K87" s="564"/>
      <c r="L87" s="563"/>
      <c r="M87" s="563"/>
    </row>
    <row r="88" spans="1:13" x14ac:dyDescent="0.25">
      <c r="A88" s="563"/>
      <c r="B88" s="566"/>
      <c r="C88" s="563"/>
      <c r="D88" s="564"/>
      <c r="E88" s="564"/>
      <c r="F88" s="564"/>
      <c r="G88" s="566"/>
      <c r="H88" s="565"/>
      <c r="I88" s="564"/>
      <c r="J88" s="564"/>
      <c r="K88" s="564"/>
      <c r="L88" s="563"/>
      <c r="M88" s="563"/>
    </row>
    <row r="89" spans="1:13" x14ac:dyDescent="0.25">
      <c r="A89" s="563"/>
      <c r="B89" s="566"/>
      <c r="C89" s="563"/>
      <c r="D89" s="564"/>
      <c r="E89" s="564"/>
      <c r="F89" s="564"/>
      <c r="G89" s="563"/>
      <c r="H89" s="565"/>
      <c r="I89" s="564"/>
      <c r="J89" s="564"/>
      <c r="K89" s="564"/>
      <c r="L89" s="563"/>
      <c r="M89" s="563"/>
    </row>
    <row r="90" spans="1:13" x14ac:dyDescent="0.25">
      <c r="A90" s="563"/>
      <c r="B90" s="566"/>
      <c r="C90" s="563"/>
      <c r="D90" s="564"/>
      <c r="E90" s="564"/>
      <c r="F90" s="564"/>
      <c r="G90" s="563"/>
      <c r="H90" s="565"/>
      <c r="I90" s="564"/>
      <c r="J90" s="564"/>
      <c r="K90" s="564"/>
      <c r="L90" s="563"/>
      <c r="M90" s="563"/>
    </row>
    <row r="91" spans="1:13" x14ac:dyDescent="0.25">
      <c r="A91" s="563"/>
      <c r="B91" s="563"/>
      <c r="C91" s="563"/>
      <c r="D91" s="564"/>
      <c r="E91" s="564"/>
      <c r="F91" s="564"/>
      <c r="G91" s="563"/>
      <c r="H91" s="565"/>
      <c r="I91" s="564"/>
      <c r="J91" s="564"/>
      <c r="K91" s="564"/>
      <c r="L91" s="563"/>
      <c r="M91" s="563"/>
    </row>
    <row r="92" spans="1:13" x14ac:dyDescent="0.25">
      <c r="A92" s="563"/>
      <c r="B92" s="563"/>
      <c r="C92" s="563"/>
      <c r="D92" s="564"/>
      <c r="E92" s="564"/>
      <c r="F92" s="564"/>
      <c r="G92" s="563"/>
      <c r="H92" s="565"/>
      <c r="I92" s="564"/>
      <c r="J92" s="564"/>
      <c r="K92" s="564"/>
      <c r="L92" s="563"/>
      <c r="M92" s="563"/>
    </row>
    <row r="93" spans="1:13" x14ac:dyDescent="0.25">
      <c r="A93" s="563"/>
      <c r="B93" s="563"/>
      <c r="C93" s="563"/>
      <c r="D93" s="564"/>
      <c r="E93" s="564"/>
      <c r="F93" s="564"/>
      <c r="G93" s="563"/>
      <c r="H93" s="565"/>
      <c r="I93" s="564"/>
      <c r="J93" s="564"/>
      <c r="K93" s="564"/>
      <c r="L93" s="563"/>
      <c r="M93" s="563"/>
    </row>
    <row r="94" spans="1:13" x14ac:dyDescent="0.25">
      <c r="A94" s="563"/>
      <c r="B94" s="563"/>
      <c r="C94" s="563"/>
      <c r="D94" s="564"/>
      <c r="E94" s="564"/>
      <c r="F94" s="564"/>
      <c r="G94" s="563"/>
      <c r="H94" s="565"/>
      <c r="I94" s="564"/>
      <c r="J94" s="564"/>
      <c r="K94" s="564"/>
      <c r="L94" s="563"/>
      <c r="M94" s="563"/>
    </row>
    <row r="95" spans="1:13" x14ac:dyDescent="0.25">
      <c r="A95" s="563"/>
      <c r="B95" s="563"/>
      <c r="C95" s="563"/>
      <c r="D95" s="564"/>
      <c r="E95" s="564"/>
      <c r="F95" s="564"/>
      <c r="G95" s="563"/>
      <c r="H95" s="565"/>
      <c r="I95" s="564"/>
      <c r="J95" s="564"/>
      <c r="K95" s="564"/>
      <c r="L95" s="563"/>
      <c r="M95" s="563"/>
    </row>
    <row r="96" spans="1:13" x14ac:dyDescent="0.25">
      <c r="A96" s="563"/>
      <c r="B96" s="563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3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3"/>
      <c r="I101" s="564"/>
      <c r="J101" s="564"/>
      <c r="K101" s="564"/>
      <c r="L101" s="563"/>
      <c r="M101" s="563"/>
    </row>
    <row r="102" spans="1:13" x14ac:dyDescent="0.25">
      <c r="A102" s="689" t="s">
        <v>81</v>
      </c>
      <c r="B102" s="690"/>
      <c r="C102" s="690">
        <f>SUM(C86:C90)</f>
        <v>15</v>
      </c>
      <c r="D102" s="691"/>
      <c r="E102" s="691"/>
      <c r="F102" s="691">
        <f>SUM(F86:F90)</f>
        <v>3150.1499999999996</v>
      </c>
      <c r="G102" s="690"/>
      <c r="H102" s="692">
        <f>SUM(H86:H89)</f>
        <v>15</v>
      </c>
      <c r="I102" s="691"/>
      <c r="J102" s="691"/>
      <c r="K102" s="691">
        <f>SUM(K86:K89)</f>
        <v>3374.92</v>
      </c>
      <c r="L102" s="690"/>
      <c r="M102" s="691">
        <f>SUM(M86:M94)</f>
        <v>0</v>
      </c>
    </row>
    <row r="103" spans="1:13" ht="15.75" thickBot="1" x14ac:dyDescent="0.3">
      <c r="A103" s="693" t="s">
        <v>193</v>
      </c>
      <c r="B103" s="725"/>
      <c r="C103" s="694">
        <f>SumByColor($A$30,C86:C101)</f>
        <v>0</v>
      </c>
      <c r="D103" s="694"/>
      <c r="E103" s="694"/>
      <c r="F103" s="695">
        <f>SumByColor($A$30,F86:F101)</f>
        <v>0</v>
      </c>
      <c r="G103" s="694"/>
      <c r="H103" s="694">
        <f>SumByColor($A$30,H86:H101)</f>
        <v>0</v>
      </c>
      <c r="I103" s="694"/>
      <c r="J103" s="694"/>
      <c r="K103" s="695">
        <f>SumByColor($A$30,K87:K101)</f>
        <v>0</v>
      </c>
      <c r="L103" s="694"/>
      <c r="M103" s="695">
        <f>SumByColor($A$30,M86:M101)</f>
        <v>0</v>
      </c>
    </row>
    <row r="106" spans="1:13" x14ac:dyDescent="0.25">
      <c r="B106" s="182" t="s">
        <v>113</v>
      </c>
      <c r="C106" s="182" t="s">
        <v>146</v>
      </c>
      <c r="D106" s="183" t="s">
        <v>145</v>
      </c>
      <c r="E106" s="185" t="s">
        <v>147</v>
      </c>
      <c r="F106" s="185" t="s">
        <v>65</v>
      </c>
      <c r="G106" s="220" t="s">
        <v>151</v>
      </c>
      <c r="H106" s="220" t="s">
        <v>88</v>
      </c>
      <c r="I106" s="220" t="s">
        <v>154</v>
      </c>
      <c r="J106" s="220" t="s">
        <v>150</v>
      </c>
      <c r="K106" s="220" t="s">
        <v>669</v>
      </c>
      <c r="L106" s="220" t="s">
        <v>675</v>
      </c>
    </row>
    <row r="107" spans="1:13" x14ac:dyDescent="0.25">
      <c r="B107" s="184">
        <v>42972</v>
      </c>
      <c r="C107" s="10">
        <v>15</v>
      </c>
      <c r="D107" s="39">
        <v>210.01</v>
      </c>
      <c r="E107" s="39">
        <v>212.36</v>
      </c>
      <c r="F107" s="39">
        <f t="shared" ref="F107:F108" si="43">C107*(E107-D107)</f>
        <v>35.250000000000341</v>
      </c>
      <c r="G107" s="39">
        <f t="shared" ref="G107:G108" si="44">D107*C107</f>
        <v>3150.1499999999996</v>
      </c>
      <c r="H107" s="222">
        <f t="shared" ref="H107:H108" si="45">(E107-D107)/D107</f>
        <v>1.1189943336031726E-2</v>
      </c>
      <c r="I107" s="39"/>
      <c r="J107" s="39"/>
      <c r="K107" s="39"/>
      <c r="L107" s="39"/>
    </row>
    <row r="108" spans="1:13" x14ac:dyDescent="0.25">
      <c r="B108" s="184">
        <v>42983</v>
      </c>
      <c r="C108" s="10">
        <v>15</v>
      </c>
      <c r="D108" s="39">
        <v>210.01</v>
      </c>
      <c r="E108" s="39">
        <v>223.9</v>
      </c>
      <c r="F108" s="39">
        <f t="shared" si="43"/>
        <v>208.35000000000022</v>
      </c>
      <c r="G108" s="39">
        <f t="shared" si="44"/>
        <v>3150.1499999999996</v>
      </c>
      <c r="H108" s="222">
        <f t="shared" si="45"/>
        <v>6.6139707632969932E-2</v>
      </c>
      <c r="I108" s="39"/>
      <c r="J108" s="39"/>
      <c r="K108" s="39"/>
      <c r="L108" s="39"/>
    </row>
    <row r="109" spans="1:13" x14ac:dyDescent="0.25">
      <c r="B109" s="184">
        <v>43005</v>
      </c>
      <c r="C109" s="10">
        <v>0</v>
      </c>
      <c r="D109" s="39"/>
      <c r="E109" s="39"/>
      <c r="F109" s="39">
        <v>224.77</v>
      </c>
      <c r="G109" s="39"/>
      <c r="H109" s="222"/>
      <c r="I109" s="39"/>
      <c r="J109" s="39"/>
      <c r="K109" s="39"/>
      <c r="L109" s="155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155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155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155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155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155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155"/>
    </row>
    <row r="116" spans="2:12" x14ac:dyDescent="0.25">
      <c r="B116" s="184"/>
      <c r="C116" s="10"/>
      <c r="D116" s="39"/>
      <c r="E116" s="39"/>
      <c r="F116" s="39"/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39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39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39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39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39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39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39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</sheetData>
  <mergeCells count="1">
    <mergeCell ref="O16:P16"/>
  </mergeCells>
  <conditionalFormatting sqref="O17:O37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80:J82 H80:H82 F80:F82">
    <cfRule type="expression" dxfId="1748" priority="43">
      <formula>F7&gt;0</formula>
    </cfRule>
    <cfRule type="expression" dxfId="1747" priority="44">
      <formula>F7&lt;0</formula>
    </cfRule>
  </conditionalFormatting>
  <conditionalFormatting sqref="Q8">
    <cfRule type="expression" dxfId="1746" priority="41">
      <formula>Q8&gt;0</formula>
    </cfRule>
    <cfRule type="expression" dxfId="1745" priority="42">
      <formula>Q8&lt;0</formula>
    </cfRule>
  </conditionalFormatting>
  <conditionalFormatting sqref="F41:F60">
    <cfRule type="expression" dxfId="1744" priority="39">
      <formula>F41&gt;0</formula>
    </cfRule>
    <cfRule type="expression" dxfId="1743" priority="40">
      <formula>F41&lt;0</formula>
    </cfRule>
  </conditionalFormatting>
  <conditionalFormatting sqref="H41:H60">
    <cfRule type="expression" dxfId="1742" priority="37">
      <formula>H41&gt;0</formula>
    </cfRule>
    <cfRule type="expression" dxfId="1741" priority="38">
      <formula>H41&lt;0</formula>
    </cfRule>
  </conditionalFormatting>
  <conditionalFormatting sqref="Q10">
    <cfRule type="expression" dxfId="1740" priority="31">
      <formula>Q10&gt;0</formula>
    </cfRule>
    <cfRule type="expression" dxfId="1739" priority="32">
      <formula>Q10&lt;0</formula>
    </cfRule>
  </conditionalFormatting>
  <conditionalFormatting sqref="J36:J60">
    <cfRule type="expression" dxfId="1738" priority="29">
      <formula>J36&gt;0</formula>
    </cfRule>
    <cfRule type="expression" dxfId="1737" priority="30">
      <formula>J36&lt;0</formula>
    </cfRule>
  </conditionalFormatting>
  <conditionalFormatting sqref="K36:K49">
    <cfRule type="expression" dxfId="1736" priority="27">
      <formula>K36&gt;0</formula>
    </cfRule>
    <cfRule type="expression" dxfId="1735" priority="28">
      <formula>K36&lt;0</formula>
    </cfRule>
  </conditionalFormatting>
  <conditionalFormatting sqref="L36:L49">
    <cfRule type="expression" dxfId="1734" priority="25">
      <formula>L36&gt;0</formula>
    </cfRule>
    <cfRule type="expression" dxfId="1733" priority="26">
      <formula>L36&lt;0</formula>
    </cfRule>
  </conditionalFormatting>
  <conditionalFormatting sqref="F107:F128">
    <cfRule type="expression" dxfId="1732" priority="23">
      <formula>F107&gt;0</formula>
    </cfRule>
    <cfRule type="expression" dxfId="1731" priority="24">
      <formula>F107&lt;0</formula>
    </cfRule>
  </conditionalFormatting>
  <conditionalFormatting sqref="H107:H128">
    <cfRule type="expression" dxfId="1730" priority="21">
      <formula>H107&gt;0</formula>
    </cfRule>
    <cfRule type="expression" dxfId="1729" priority="22">
      <formula>H107&lt;0</formula>
    </cfRule>
  </conditionalFormatting>
  <conditionalFormatting sqref="J107:J120">
    <cfRule type="expression" dxfId="1728" priority="19">
      <formula>J107&gt;0</formula>
    </cfRule>
    <cfRule type="expression" dxfId="1727" priority="20">
      <formula>J107&lt;0</formula>
    </cfRule>
  </conditionalFormatting>
  <conditionalFormatting sqref="K107:K120">
    <cfRule type="expression" dxfId="1726" priority="17">
      <formula>K107&gt;0</formula>
    </cfRule>
    <cfRule type="expression" dxfId="1725" priority="18">
      <formula>K107&lt;0</formula>
    </cfRule>
  </conditionalFormatting>
  <conditionalFormatting sqref="L107:L120">
    <cfRule type="expression" dxfId="1724" priority="15">
      <formula>L107&gt;0</formula>
    </cfRule>
    <cfRule type="expression" dxfId="1723" priority="16">
      <formula>L107&lt;0</formula>
    </cfRule>
  </conditionalFormatting>
  <conditionalFormatting sqref="F36:F40">
    <cfRule type="expression" dxfId="1722" priority="13">
      <formula>F36&gt;0</formula>
    </cfRule>
    <cfRule type="expression" dxfId="1721" priority="14">
      <formula>F36&lt;0</formula>
    </cfRule>
  </conditionalFormatting>
  <conditionalFormatting sqref="H36:H40">
    <cfRule type="expression" dxfId="1720" priority="11">
      <formula>H36&gt;0</formula>
    </cfRule>
    <cfRule type="expression" dxfId="1719" priority="12">
      <formula>H36&lt;0</formula>
    </cfRule>
  </conditionalFormatting>
  <conditionalFormatting sqref="F61:F62">
    <cfRule type="expression" dxfId="1718" priority="9">
      <formula>F61&gt;0</formula>
    </cfRule>
    <cfRule type="expression" dxfId="1717" priority="10">
      <formula>F61&lt;0</formula>
    </cfRule>
  </conditionalFormatting>
  <conditionalFormatting sqref="H61:H62">
    <cfRule type="expression" dxfId="1716" priority="7">
      <formula>H61&gt;0</formula>
    </cfRule>
    <cfRule type="expression" dxfId="1715" priority="8">
      <formula>H61&lt;0</formula>
    </cfRule>
  </conditionalFormatting>
  <conditionalFormatting sqref="J61:J62">
    <cfRule type="expression" dxfId="1714" priority="5">
      <formula>J61&gt;0</formula>
    </cfRule>
    <cfRule type="expression" dxfId="1713" priority="6">
      <formula>J61&lt;0</formula>
    </cfRule>
  </conditionalFormatting>
  <conditionalFormatting sqref="J74:J75 H74:H75 F74:F75">
    <cfRule type="expression" dxfId="1712" priority="3">
      <formula>F74&gt;0</formula>
    </cfRule>
    <cfRule type="expression" dxfId="1711" priority="4">
      <formula>F74&lt;0</formula>
    </cfRule>
  </conditionalFormatting>
  <conditionalFormatting sqref="J76:J79 H76:H79 F76:F79">
    <cfRule type="expression" dxfId="1710" priority="1">
      <formula>F76&gt;0</formula>
    </cfRule>
    <cfRule type="expression" dxfId="1709" priority="2">
      <formula>F76&lt;0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903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101.38</v>
      </c>
      <c r="T3" s="1"/>
      <c r="U3" t="s">
        <v>904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101.38</v>
      </c>
      <c r="R4" s="495">
        <v>1.8700000000000001E-2</v>
      </c>
      <c r="T4" s="1"/>
      <c r="U4" t="s">
        <v>905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906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1">
        <v>43203</v>
      </c>
      <c r="U9" t="s">
        <v>1004</v>
      </c>
      <c r="W9" s="134"/>
    </row>
    <row r="10" spans="1:23" x14ac:dyDescent="0.25">
      <c r="H10" s="70"/>
      <c r="O10" s="11" t="s">
        <v>207</v>
      </c>
      <c r="P10" s="33"/>
      <c r="Q10" s="2">
        <f>M66</f>
        <v>0</v>
      </c>
      <c r="U10" t="s">
        <v>1003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6.7074373643716718E-3</v>
      </c>
      <c r="R11">
        <v>0.17</v>
      </c>
      <c r="W11" s="134"/>
    </row>
    <row r="12" spans="1:23" x14ac:dyDescent="0.25">
      <c r="H12" s="70"/>
      <c r="O12" s="11" t="s">
        <v>995</v>
      </c>
      <c r="Q12" s="1">
        <v>43294</v>
      </c>
      <c r="W12" s="134"/>
    </row>
    <row r="13" spans="1:23" x14ac:dyDescent="0.25">
      <c r="H13" s="70"/>
      <c r="O13" s="11" t="s">
        <v>973</v>
      </c>
      <c r="Q13">
        <f>Q4/4.75</f>
        <v>21.343157894736841</v>
      </c>
      <c r="W13" s="134"/>
    </row>
    <row r="14" spans="1:23" x14ac:dyDescent="0.25">
      <c r="H14" s="70"/>
      <c r="T14" s="1">
        <v>43294</v>
      </c>
      <c r="U14" t="s">
        <v>82</v>
      </c>
      <c r="W14" s="134"/>
    </row>
    <row r="15" spans="1:23" ht="20.25" thickBot="1" x14ac:dyDescent="0.35">
      <c r="H15" s="70"/>
      <c r="O15" s="851" t="s">
        <v>78</v>
      </c>
      <c r="P15" s="851"/>
      <c r="W15" s="134"/>
    </row>
    <row r="16" spans="1:23" ht="15.75" thickTop="1" x14ac:dyDescent="0.25">
      <c r="H16" s="70"/>
      <c r="O16" s="81">
        <v>1.1000000000000001</v>
      </c>
      <c r="P16" s="81">
        <f>O16*$Q$4</f>
        <v>111.518</v>
      </c>
      <c r="W16" s="134"/>
    </row>
    <row r="17" spans="1:23" x14ac:dyDescent="0.25">
      <c r="O17" s="81">
        <v>1.0900000000000001</v>
      </c>
      <c r="P17" s="81">
        <f t="shared" ref="P17:P36" si="0">O17*$Q$4</f>
        <v>110.5042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109.49040000000001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108.4766</v>
      </c>
      <c r="W19" s="134"/>
    </row>
    <row r="20" spans="1:23" x14ac:dyDescent="0.25">
      <c r="O20" s="81">
        <v>1.06</v>
      </c>
      <c r="P20" s="81">
        <f t="shared" si="0"/>
        <v>107.4628</v>
      </c>
      <c r="W20" s="134"/>
    </row>
    <row r="21" spans="1:23" x14ac:dyDescent="0.25">
      <c r="O21" s="81">
        <v>1.05</v>
      </c>
      <c r="P21" s="81">
        <f t="shared" si="0"/>
        <v>106.449</v>
      </c>
      <c r="W21" s="134"/>
    </row>
    <row r="22" spans="1:23" x14ac:dyDescent="0.25">
      <c r="O22" s="81">
        <v>1.04</v>
      </c>
      <c r="P22" s="81">
        <f t="shared" si="0"/>
        <v>105.43519999999999</v>
      </c>
      <c r="W22" s="134"/>
    </row>
    <row r="23" spans="1:23" x14ac:dyDescent="0.25">
      <c r="O23" s="81">
        <v>1.03</v>
      </c>
      <c r="P23" s="81">
        <f t="shared" si="0"/>
        <v>104.42139999999999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497</v>
      </c>
      <c r="K24" s="220"/>
      <c r="L24" s="220" t="s">
        <v>973</v>
      </c>
      <c r="O24" s="81">
        <v>1.02</v>
      </c>
      <c r="P24" s="81">
        <f t="shared" si="0"/>
        <v>103.4076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2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102.3938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2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101.38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2">
        <f t="shared" ref="H27" si="9">(E27-D27)/D27</f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100.36619999999999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2">
        <f t="shared" ref="H28:H30" si="12">(E28-D28)/D28</f>
        <v>2.445242785954339E-2</v>
      </c>
      <c r="I28" s="39"/>
      <c r="J28" s="39"/>
      <c r="K28" s="39"/>
      <c r="L28" s="39"/>
      <c r="O28" s="81">
        <v>0.98</v>
      </c>
      <c r="P28" s="81">
        <f t="shared" si="0"/>
        <v>99.352399999999989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2">
        <f t="shared" si="12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98.3386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2">
        <f t="shared" si="12"/>
        <v>0.14335416711376606</v>
      </c>
      <c r="I30" s="39"/>
      <c r="J30" s="39"/>
      <c r="K30" s="39"/>
      <c r="L30" s="39"/>
      <c r="O30" s="81">
        <v>0.96</v>
      </c>
      <c r="P30" s="81">
        <f t="shared" si="0"/>
        <v>97.324799999999996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2">
        <f t="shared" ref="H31" si="15">(E31-D31)/D31</f>
        <v>0.22326398137709999</v>
      </c>
      <c r="I31" s="39"/>
      <c r="J31" s="39"/>
      <c r="K31" s="39"/>
      <c r="L31" s="39"/>
      <c r="O31" s="81">
        <v>0.95</v>
      </c>
      <c r="P31" s="81">
        <f t="shared" si="0"/>
        <v>96.310999999999993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2">
        <f t="shared" ref="H32" si="18">(E32-D32)/D32</f>
        <v>0.15938662589961675</v>
      </c>
      <c r="I32" s="39"/>
      <c r="J32" s="39"/>
      <c r="K32" s="39"/>
      <c r="L32" s="39"/>
      <c r="O32" s="81">
        <v>0.94</v>
      </c>
      <c r="P32" s="81">
        <f t="shared" si="0"/>
        <v>95.297199999999989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ref="F33:F36" si="19">C33*(E33-D33)</f>
        <v>335.57100000000037</v>
      </c>
      <c r="G33" s="39">
        <f t="shared" ref="G33:G36" si="20">D33*C33</f>
        <v>2376.4289999999996</v>
      </c>
      <c r="H33" s="222">
        <f t="shared" ref="H33:H36" si="21">(E33-D33)/D33</f>
        <v>0.14120808995345552</v>
      </c>
      <c r="I33" s="39"/>
      <c r="J33" s="39"/>
      <c r="K33" s="39"/>
      <c r="L33" s="39"/>
      <c r="O33" s="81">
        <v>0.93</v>
      </c>
      <c r="P33" s="81">
        <f t="shared" si="0"/>
        <v>94.2834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9"/>
        <v>470.27100000000019</v>
      </c>
      <c r="G34" s="39">
        <f t="shared" si="20"/>
        <v>2376.4289999999996</v>
      </c>
      <c r="H34" s="222">
        <f t="shared" si="21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93.269599999999997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9"/>
        <v>550.07100000000014</v>
      </c>
      <c r="G35" s="39">
        <f t="shared" si="20"/>
        <v>2376.4289999999996</v>
      </c>
      <c r="H35" s="222">
        <f t="shared" si="21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92.255799999999994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9"/>
        <v>551.57100000000003</v>
      </c>
      <c r="G36" s="39">
        <f t="shared" si="20"/>
        <v>2371.029</v>
      </c>
      <c r="H36" s="222">
        <f t="shared" si="21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91.242000000000004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708" priority="21">
      <formula>F47&gt;0</formula>
    </cfRule>
    <cfRule type="expression" dxfId="1707" priority="22">
      <formula>F47&lt;0</formula>
    </cfRule>
  </conditionalFormatting>
  <conditionalFormatting sqref="Q7">
    <cfRule type="expression" dxfId="1706" priority="19">
      <formula>Q7&gt;0</formula>
    </cfRule>
    <cfRule type="expression" dxfId="1705" priority="20">
      <formula>Q7&lt;0</formula>
    </cfRule>
  </conditionalFormatting>
  <conditionalFormatting sqref="Q8">
    <cfRule type="expression" dxfId="1704" priority="17">
      <formula>Q8&gt;0</formula>
    </cfRule>
    <cfRule type="expression" dxfId="1703" priority="18">
      <formula>Q8&lt;0</formula>
    </cfRule>
  </conditionalFormatting>
  <conditionalFormatting sqref="F25:F46">
    <cfRule type="expression" dxfId="1702" priority="15">
      <formula>F25&gt;0</formula>
    </cfRule>
    <cfRule type="expression" dxfId="1701" priority="16">
      <formula>F25&lt;0</formula>
    </cfRule>
  </conditionalFormatting>
  <conditionalFormatting sqref="H25:H46">
    <cfRule type="expression" dxfId="1700" priority="13">
      <formula>H25&gt;0</formula>
    </cfRule>
    <cfRule type="expression" dxfId="1699" priority="14">
      <formula>H25&lt;0</formula>
    </cfRule>
  </conditionalFormatting>
  <conditionalFormatting sqref="F89:F110">
    <cfRule type="expression" dxfId="1698" priority="11">
      <formula>F89&gt;0</formula>
    </cfRule>
    <cfRule type="expression" dxfId="1697" priority="12">
      <formula>F89&lt;0</formula>
    </cfRule>
  </conditionalFormatting>
  <conditionalFormatting sqref="H89:H110">
    <cfRule type="expression" dxfId="1696" priority="9">
      <formula>H89&gt;0</formula>
    </cfRule>
    <cfRule type="expression" dxfId="1695" priority="10">
      <formula>H89&lt;0</formula>
    </cfRule>
  </conditionalFormatting>
  <conditionalFormatting sqref="Q10">
    <cfRule type="expression" dxfId="1694" priority="7">
      <formula>Q10&gt;0</formula>
    </cfRule>
    <cfRule type="expression" dxfId="1693" priority="8">
      <formula>Q10&lt;0</formula>
    </cfRule>
  </conditionalFormatting>
  <conditionalFormatting sqref="J25:J38">
    <cfRule type="expression" dxfId="1692" priority="5">
      <formula>J25&gt;0</formula>
    </cfRule>
    <cfRule type="expression" dxfId="1691" priority="6">
      <formula>J25&lt;0</formula>
    </cfRule>
  </conditionalFormatting>
  <conditionalFormatting sqref="K25:K38">
    <cfRule type="expression" dxfId="1690" priority="3">
      <formula>K25&gt;0</formula>
    </cfRule>
    <cfRule type="expression" dxfId="1689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679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826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140.94999999999999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140.94999999999999</v>
      </c>
      <c r="R4" s="495">
        <v>2.7900000000000001E-2</v>
      </c>
      <c r="T4" s="29">
        <v>42738</v>
      </c>
      <c r="U4" t="s">
        <v>825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852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858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208</v>
      </c>
      <c r="Q9" s="134">
        <f>IF(Q2=0, 0, Q8/Q6)</f>
        <v>0</v>
      </c>
      <c r="T9" s="29">
        <v>43114</v>
      </c>
      <c r="U9" t="s">
        <v>879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207</v>
      </c>
      <c r="P10" s="33"/>
      <c r="Q10" s="2">
        <f>M70</f>
        <v>0</v>
      </c>
      <c r="U10" t="s">
        <v>880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>C12*D12+E12</f>
        <v>2770</v>
      </c>
      <c r="H12" s="70"/>
      <c r="O12" s="11" t="s">
        <v>995</v>
      </c>
      <c r="Q12" s="29"/>
      <c r="T12" s="29">
        <v>43193</v>
      </c>
      <c r="U12" t="s">
        <v>966</v>
      </c>
    </row>
    <row r="13" spans="1:21" x14ac:dyDescent="0.25">
      <c r="C13" s="4"/>
      <c r="D13" s="3"/>
      <c r="E13" s="3"/>
      <c r="F13" s="3"/>
      <c r="H13" s="70"/>
      <c r="O13" s="11" t="s">
        <v>973</v>
      </c>
      <c r="Q13">
        <f>Q4/6.69</f>
        <v>21.068759342301941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51" t="s">
        <v>78</v>
      </c>
      <c r="P17" s="851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155.04499999999999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3">O19*$Q$4</f>
        <v>153.63550000000001</v>
      </c>
      <c r="Q19" s="2"/>
    </row>
    <row r="20" spans="1:17" x14ac:dyDescent="0.25">
      <c r="O20" s="81">
        <v>1.08</v>
      </c>
      <c r="P20" s="81">
        <f t="shared" si="3"/>
        <v>152.226</v>
      </c>
      <c r="Q20" s="2"/>
    </row>
    <row r="21" spans="1:17" x14ac:dyDescent="0.25">
      <c r="O21" s="81">
        <v>1.07</v>
      </c>
      <c r="P21" s="81">
        <f t="shared" si="3"/>
        <v>150.81649999999999</v>
      </c>
      <c r="Q21" s="2"/>
    </row>
    <row r="22" spans="1:17" x14ac:dyDescent="0.25">
      <c r="O22" s="81">
        <v>1.06</v>
      </c>
      <c r="P22" s="81">
        <f t="shared" si="3"/>
        <v>149.40699999999998</v>
      </c>
      <c r="Q22" s="2"/>
    </row>
    <row r="23" spans="1:17" x14ac:dyDescent="0.25">
      <c r="O23" s="81">
        <v>1.05</v>
      </c>
      <c r="P23" s="81">
        <f t="shared" si="3"/>
        <v>147.9975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669</v>
      </c>
      <c r="L24" s="220" t="s">
        <v>497</v>
      </c>
      <c r="M24" s="220" t="s">
        <v>70</v>
      </c>
      <c r="O24" s="81">
        <v>1.04</v>
      </c>
      <c r="P24" s="81">
        <f t="shared" si="3"/>
        <v>146.58799999999999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2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145.17849999999999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2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143.76899999999998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2">
        <f t="shared" ref="H27" si="11">(E27-D27)/D27</f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3"/>
        <v>142.3595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2">
        <f t="shared" ref="H28" si="14">(E28-D28)/D28</f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3"/>
        <v>140.94999999999999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2">
        <f t="shared" ref="H29" si="17">(E29-D29)/D29</f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3"/>
        <v>139.54049999999998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2">
        <f t="shared" ref="H30" si="20">(E30-D30)/D30</f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3"/>
        <v>138.131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2">
        <f t="shared" ref="H31:H35" si="23">(E31-D31)/D31</f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3"/>
        <v>136.72149999999999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2">
        <f t="shared" si="23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3"/>
        <v>135.31199999999998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2">
        <f t="shared" si="23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3"/>
        <v>133.90249999999997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2">
        <f t="shared" si="23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3"/>
        <v>132.49299999999999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2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131.08349999999999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2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129.67400000000001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2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128.2645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2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126.85499999999999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2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2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2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2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2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2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2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2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2">
        <f t="shared" si="41"/>
        <v>0.25106962460357785</v>
      </c>
      <c r="I47" s="193" t="s">
        <v>857</v>
      </c>
      <c r="J47" s="39"/>
      <c r="K47" s="39"/>
      <c r="L47" s="39">
        <v>74.34</v>
      </c>
      <c r="M47" s="39" t="s">
        <v>878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2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2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2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2">
        <f t="shared" si="41"/>
        <v>0.16722783389450063</v>
      </c>
      <c r="I51" s="39" t="s">
        <v>940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2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2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2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2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48">C56*(E56-D56)</f>
        <v>1922</v>
      </c>
      <c r="G56" s="39">
        <f t="shared" ref="G56:G61" si="49">D56*C56</f>
        <v>3816.5</v>
      </c>
      <c r="H56" s="222">
        <f t="shared" ref="H56:H61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2">
        <f t="shared" si="50"/>
        <v>0.26167160100204973</v>
      </c>
      <c r="I57" s="39" t="s">
        <v>971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2">
        <f t="shared" si="50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48"/>
        <v>1531.5000000000002</v>
      </c>
      <c r="G59" s="39">
        <f t="shared" si="49"/>
        <v>6583.5</v>
      </c>
      <c r="H59" s="222">
        <f t="shared" si="50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48"/>
        <v>2132.1400000000003</v>
      </c>
      <c r="G60" s="39">
        <f t="shared" si="49"/>
        <v>3684.8599999999997</v>
      </c>
      <c r="H60" s="222">
        <f t="shared" si="50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48"/>
        <v>2214.4999999999995</v>
      </c>
      <c r="G61" s="39">
        <f t="shared" si="49"/>
        <v>3685</v>
      </c>
      <c r="H61" s="222">
        <f t="shared" si="50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 t="shared" ref="F62" si="51">C62*(E62-D62)</f>
        <v>2560.4999999999995</v>
      </c>
      <c r="G62" s="39">
        <f t="shared" ref="G62" si="52">D62*C62</f>
        <v>3685</v>
      </c>
      <c r="H62" s="222">
        <f t="shared" ref="H62" si="53"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688" priority="25">
      <formula>F7&gt;0</formula>
    </cfRule>
    <cfRule type="expression" dxfId="1687" priority="26">
      <formula>F7&lt;0</formula>
    </cfRule>
  </conditionalFormatting>
  <conditionalFormatting sqref="Q8">
    <cfRule type="expression" dxfId="1686" priority="23">
      <formula>Q8&gt;0</formula>
    </cfRule>
    <cfRule type="expression" dxfId="1685" priority="24">
      <formula>Q8&lt;0</formula>
    </cfRule>
  </conditionalFormatting>
  <conditionalFormatting sqref="F93:F114">
    <cfRule type="expression" dxfId="1684" priority="17">
      <formula>F93&gt;0</formula>
    </cfRule>
    <cfRule type="expression" dxfId="1683" priority="18">
      <formula>F93&lt;0</formula>
    </cfRule>
  </conditionalFormatting>
  <conditionalFormatting sqref="H93:H114">
    <cfRule type="expression" dxfId="1682" priority="15">
      <formula>H93&gt;0</formula>
    </cfRule>
    <cfRule type="expression" dxfId="1681" priority="16">
      <formula>H93&lt;0</formula>
    </cfRule>
  </conditionalFormatting>
  <conditionalFormatting sqref="Q10">
    <cfRule type="expression" dxfId="1680" priority="13">
      <formula>Q10&gt;0</formula>
    </cfRule>
    <cfRule type="expression" dxfId="1679" priority="14">
      <formula>Q10&lt;0</formula>
    </cfRule>
  </conditionalFormatting>
  <conditionalFormatting sqref="J25:J38">
    <cfRule type="expression" dxfId="1678" priority="11">
      <formula>J25&gt;0</formula>
    </cfRule>
    <cfRule type="expression" dxfId="1677" priority="12">
      <formula>J25&lt;0</formula>
    </cfRule>
  </conditionalFormatting>
  <conditionalFormatting sqref="K25:K38">
    <cfRule type="expression" dxfId="1676" priority="9">
      <formula>K25&gt;0</formula>
    </cfRule>
    <cfRule type="expression" dxfId="1675" priority="10">
      <formula>K25&lt;0</formula>
    </cfRule>
  </conditionalFormatting>
  <conditionalFormatting sqref="L25:L34">
    <cfRule type="expression" dxfId="1674" priority="7">
      <formula>L25&gt;0</formula>
    </cfRule>
    <cfRule type="expression" dxfId="1673" priority="8">
      <formula>L25&lt;0</formula>
    </cfRule>
  </conditionalFormatting>
  <conditionalFormatting sqref="J43">
    <cfRule type="expression" dxfId="1672" priority="5">
      <formula>J43&gt;0</formula>
    </cfRule>
    <cfRule type="expression" dxfId="1671" priority="6">
      <formula>J43&lt;0</formula>
    </cfRule>
  </conditionalFormatting>
  <conditionalFormatting sqref="M25:M34">
    <cfRule type="expression" dxfId="1670" priority="3">
      <formula>M25&gt;0</formula>
    </cfRule>
    <cfRule type="expression" dxfId="1669" priority="4">
      <formula>M25&lt;0</formula>
    </cfRule>
  </conditionalFormatting>
  <conditionalFormatting sqref="H61:H64 F61:F64">
    <cfRule type="expression" dxfId="1668" priority="1">
      <formula>F61&gt;0</formula>
    </cfRule>
    <cfRule type="expression" dxfId="1667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958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>H2*I2-J2</f>
        <v>3179.96</v>
      </c>
      <c r="L2" s="72">
        <v>43216</v>
      </c>
      <c r="M2" s="43">
        <v>28.5</v>
      </c>
      <c r="O2" s="11" t="s">
        <v>57</v>
      </c>
      <c r="Q2">
        <f>C18-H18</f>
        <v>250</v>
      </c>
      <c r="T2" s="1"/>
    </row>
    <row r="3" spans="1:21" x14ac:dyDescent="0.25">
      <c r="A3" s="22" t="s">
        <v>71</v>
      </c>
      <c r="B3" s="434">
        <v>43178</v>
      </c>
      <c r="C3" s="4">
        <v>50</v>
      </c>
      <c r="D3" s="3">
        <v>35.380000000000003</v>
      </c>
      <c r="E3" s="3">
        <v>0</v>
      </c>
      <c r="F3" s="3">
        <f t="shared" ref="F3" si="1">C3*D3+E3</f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>H3*I3-J3</f>
        <v>5036.93</v>
      </c>
      <c r="L3" s="4"/>
      <c r="M3" s="4"/>
      <c r="O3" s="11" t="s">
        <v>58</v>
      </c>
      <c r="Q3" s="221">
        <f>IF(Q2=0, Q4, (F18-K18-M18)/Q2)</f>
        <v>32.480520000000006</v>
      </c>
      <c r="T3" s="1">
        <v>43215</v>
      </c>
      <c r="U3" t="s">
        <v>1027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>C4*D4+E4</f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>H4*I4-J4</f>
        <v>1683.98</v>
      </c>
      <c r="L4" s="4"/>
      <c r="M4" s="4"/>
      <c r="O4" s="11" t="s">
        <v>66</v>
      </c>
      <c r="Q4" s="54">
        <v>33.559899999999999</v>
      </c>
      <c r="R4" s="495">
        <v>-5.9999999999999995E-4</v>
      </c>
      <c r="T4" s="770"/>
      <c r="U4" s="30" t="s">
        <v>1028</v>
      </c>
    </row>
    <row r="5" spans="1:21" x14ac:dyDescent="0.25">
      <c r="B5" s="72">
        <v>43228</v>
      </c>
      <c r="C5" s="4">
        <v>100</v>
      </c>
      <c r="D5" s="3">
        <v>30.6</v>
      </c>
      <c r="E5" s="3">
        <v>0</v>
      </c>
      <c r="F5" s="3">
        <f>C5*D5+E5</f>
        <v>3060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8389.9750000000004</v>
      </c>
    </row>
    <row r="6" spans="1:21" x14ac:dyDescent="0.25">
      <c r="B6" s="474">
        <v>43269</v>
      </c>
      <c r="C6" s="7">
        <v>150</v>
      </c>
      <c r="D6" s="43">
        <v>32.68</v>
      </c>
      <c r="E6" s="43">
        <v>0</v>
      </c>
      <c r="F6" s="43">
        <f>C6*D6+E6</f>
        <v>4902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8120.130000000001</v>
      </c>
      <c r="T6" s="1">
        <v>43217</v>
      </c>
      <c r="U6" t="s">
        <v>1036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269.84499999999935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269.84499999999935</v>
      </c>
      <c r="T8" s="1">
        <v>43228</v>
      </c>
      <c r="U8" t="s">
        <v>1071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3.3231610823964558E-2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  <c r="T11" s="156">
        <v>43262</v>
      </c>
      <c r="U11" t="s">
        <v>1037</v>
      </c>
    </row>
    <row r="12" spans="1:21" x14ac:dyDescent="0.25">
      <c r="H12" s="70"/>
      <c r="O12" s="11" t="s">
        <v>995</v>
      </c>
      <c r="Q12" s="1"/>
      <c r="T12" s="67"/>
    </row>
    <row r="13" spans="1:21" x14ac:dyDescent="0.25">
      <c r="H13" s="70"/>
      <c r="O13" s="11" t="s">
        <v>973</v>
      </c>
      <c r="Q13">
        <f>Q4/2.5</f>
        <v>13.423959999999999</v>
      </c>
      <c r="T13" s="156">
        <v>43263</v>
      </c>
      <c r="U13" t="s">
        <v>1116</v>
      </c>
    </row>
    <row r="14" spans="1:21" x14ac:dyDescent="0.25">
      <c r="H14" s="70"/>
      <c r="O14" s="11" t="s">
        <v>1111</v>
      </c>
    </row>
    <row r="15" spans="1:21" x14ac:dyDescent="0.25">
      <c r="H15" s="70"/>
      <c r="O15" s="11" t="s">
        <v>1040</v>
      </c>
      <c r="Q15" s="1">
        <v>43218</v>
      </c>
      <c r="T15" s="1">
        <v>43271</v>
      </c>
      <c r="U15" t="s">
        <v>1139</v>
      </c>
    </row>
    <row r="16" spans="1:21" x14ac:dyDescent="0.25">
      <c r="H16" s="70"/>
    </row>
    <row r="17" spans="1:21" x14ac:dyDescent="0.25">
      <c r="T17" s="156">
        <v>43308</v>
      </c>
      <c r="U17" t="s">
        <v>1172</v>
      </c>
    </row>
    <row r="18" spans="1:21" x14ac:dyDescent="0.25">
      <c r="A18" s="31" t="s">
        <v>81</v>
      </c>
      <c r="B18" s="14"/>
      <c r="C18" s="14">
        <f>SUM(C2:C8)</f>
        <v>550</v>
      </c>
      <c r="D18" s="18"/>
      <c r="E18" s="18"/>
      <c r="F18" s="18">
        <f>SUM(F2:F8)</f>
        <v>18049.5</v>
      </c>
      <c r="G18" s="14"/>
      <c r="H18" s="71">
        <f>SUM(H2:H5)</f>
        <v>300</v>
      </c>
      <c r="I18" s="18"/>
      <c r="J18" s="18"/>
      <c r="K18" s="18">
        <f>SUM(K2:K5)</f>
        <v>9900.869999999999</v>
      </c>
      <c r="L18" s="14"/>
      <c r="M18" s="18">
        <f>SUM(M2:M17)</f>
        <v>28.5</v>
      </c>
    </row>
    <row r="19" spans="1:21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9682</v>
      </c>
      <c r="G19" s="343"/>
      <c r="H19" s="343">
        <f>SumByColor($A$19,H2:H17)</f>
        <v>300</v>
      </c>
      <c r="I19" s="343"/>
      <c r="J19" s="343"/>
      <c r="K19" s="344">
        <f>SumByColor($A$19,K2:K17)</f>
        <v>9901</v>
      </c>
      <c r="L19" s="343"/>
      <c r="M19" s="344">
        <f>SumByColor($A$19,M2:M17)</f>
        <v>28</v>
      </c>
    </row>
    <row r="22" spans="1:21" ht="20.25" thickBot="1" x14ac:dyDescent="0.35">
      <c r="O22" s="797" t="s">
        <v>78</v>
      </c>
      <c r="P22" s="797"/>
    </row>
    <row r="23" spans="1:21" ht="15.75" thickTop="1" x14ac:dyDescent="0.25">
      <c r="O23" s="81">
        <v>1.1000000000000001</v>
      </c>
      <c r="P23" s="81">
        <f>O23*$Q$4</f>
        <v>36.915890000000005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973</v>
      </c>
      <c r="L24" s="220"/>
      <c r="O24" s="81">
        <v>1.0900000000000001</v>
      </c>
      <c r="P24" s="81">
        <f t="shared" ref="P24:P43" si="2">O24*$Q$4</f>
        <v>36.580291000000003</v>
      </c>
      <c r="Q24" s="2"/>
    </row>
    <row r="25" spans="1:21" x14ac:dyDescent="0.25">
      <c r="B25" s="184">
        <v>43178</v>
      </c>
      <c r="C25" s="10">
        <v>150</v>
      </c>
      <c r="D25" s="39">
        <v>35.380000000000003</v>
      </c>
      <c r="E25" s="39">
        <v>35.35</v>
      </c>
      <c r="F25" s="39">
        <f t="shared" ref="F25" si="3">C25*(E25-D25)</f>
        <v>-4.5000000000001705</v>
      </c>
      <c r="G25" s="39">
        <f t="shared" ref="G25" si="4">D25*C25</f>
        <v>5307</v>
      </c>
      <c r="H25" s="222">
        <f t="shared" ref="H25" si="5"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36.244692000000001</v>
      </c>
      <c r="Q25" s="2"/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 t="shared" ref="F26" si="6">C26*(E26-D26)</f>
        <v>-331.50000000000011</v>
      </c>
      <c r="G26" s="39">
        <f t="shared" ref="G26" si="7">D26*C26</f>
        <v>5307</v>
      </c>
      <c r="H26" s="222">
        <f t="shared" ref="H26" si="8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35.909092999999999</v>
      </c>
      <c r="Q26" s="2"/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 t="shared" ref="F27" si="9">C27*(E27-D27)</f>
        <v>-358.50000000000011</v>
      </c>
      <c r="G27" s="39">
        <f t="shared" ref="G27" si="10">D27*C27</f>
        <v>5307</v>
      </c>
      <c r="H27" s="222">
        <f t="shared" ref="H27" si="11"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35.573494000000004</v>
      </c>
      <c r="Q27" s="2"/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12">C28*(E28-D28)</f>
        <v>-228.00000000000045</v>
      </c>
      <c r="G28" s="39">
        <f t="shared" ref="G28:G33" si="13">D28*C28</f>
        <v>5307</v>
      </c>
      <c r="H28" s="222">
        <f t="shared" ref="H28:H33" si="14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35.237895000000002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12"/>
        <v>-168.00000000000068</v>
      </c>
      <c r="G29" s="39">
        <f t="shared" si="13"/>
        <v>5307</v>
      </c>
      <c r="H29" s="222">
        <f t="shared" si="14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34.902296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12"/>
        <v>-516.00000000000068</v>
      </c>
      <c r="G30" s="39">
        <f t="shared" si="13"/>
        <v>10059</v>
      </c>
      <c r="H30" s="222">
        <f t="shared" si="14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34.566696999999998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12"/>
        <v>-883.20000000000073</v>
      </c>
      <c r="G31" s="39">
        <f t="shared" si="13"/>
        <v>13119.2</v>
      </c>
      <c r="H31" s="222">
        <f t="shared" si="14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34.231098000000003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12"/>
        <v>-99.000000000000909</v>
      </c>
      <c r="G32" s="39">
        <f t="shared" si="13"/>
        <v>13119</v>
      </c>
      <c r="H32" s="222">
        <f t="shared" si="14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33.895499000000001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12"/>
        <v>-414.0000000000008</v>
      </c>
      <c r="G33" s="39">
        <f t="shared" si="13"/>
        <v>9939</v>
      </c>
      <c r="H33" s="222">
        <f t="shared" si="14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33.559899999999999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39" si="15">C34*(E34-D34)</f>
        <v>-315.00000000000125</v>
      </c>
      <c r="G34" s="39">
        <f t="shared" ref="G34:G39" si="16">D34*C34</f>
        <v>9939</v>
      </c>
      <c r="H34" s="222">
        <f t="shared" ref="H34:H39" si="17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33.224300999999997</v>
      </c>
      <c r="Q34" s="2"/>
    </row>
    <row r="35" spans="1:17" x14ac:dyDescent="0.25">
      <c r="B35" s="184">
        <v>43265</v>
      </c>
      <c r="C35" s="10">
        <v>150</v>
      </c>
      <c r="D35" s="39">
        <v>32.680700000000002</v>
      </c>
      <c r="E35" s="39">
        <v>33.82</v>
      </c>
      <c r="F35" s="39">
        <f t="shared" si="15"/>
        <v>170.89499999999981</v>
      </c>
      <c r="G35" s="39">
        <f t="shared" si="16"/>
        <v>4902.1050000000005</v>
      </c>
      <c r="H35" s="222">
        <f t="shared" si="17"/>
        <v>3.48615543730703E-2</v>
      </c>
      <c r="I35" s="39" t="s">
        <v>1135</v>
      </c>
      <c r="J35" s="39"/>
      <c r="K35" s="39">
        <v>13.53</v>
      </c>
      <c r="L35" s="155"/>
      <c r="O35" s="81">
        <v>0.98</v>
      </c>
      <c r="P35" s="81">
        <f t="shared" si="2"/>
        <v>32.888701999999995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15"/>
        <v>-30.120000000000147</v>
      </c>
      <c r="G36" s="39">
        <f t="shared" si="16"/>
        <v>9804.119999999999</v>
      </c>
      <c r="H36" s="222">
        <f t="shared" si="17"/>
        <v>-3.0721778191209561E-3</v>
      </c>
      <c r="I36" s="39" t="s">
        <v>1135</v>
      </c>
      <c r="J36" s="39"/>
      <c r="K36" s="39">
        <v>13.03</v>
      </c>
      <c r="L36" s="39"/>
      <c r="O36" s="81">
        <v>0.97</v>
      </c>
      <c r="P36" s="81">
        <f t="shared" si="2"/>
        <v>32.553103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15"/>
        <v>227.37500000000034</v>
      </c>
      <c r="G37" s="39">
        <f t="shared" si="16"/>
        <v>8120.125</v>
      </c>
      <c r="H37" s="222">
        <f t="shared" si="17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32.217503999999998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15"/>
        <v>-47.625000000000028</v>
      </c>
      <c r="G38" s="39">
        <f t="shared" si="16"/>
        <v>8120.125</v>
      </c>
      <c r="H38" s="222">
        <f t="shared" si="17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31.881904999999996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15"/>
        <v>274.87499999999977</v>
      </c>
      <c r="G39" s="39">
        <f t="shared" si="16"/>
        <v>8120.125</v>
      </c>
      <c r="H39" s="222">
        <f t="shared" si="17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31.546305999999998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2"/>
        <v>31.210706999999999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30.875108000000001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30.539508999999999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30.20391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66" priority="33">
      <formula>F47&gt;0</formula>
    </cfRule>
    <cfRule type="expression" dxfId="1665" priority="34">
      <formula>F47&lt;0</formula>
    </cfRule>
  </conditionalFormatting>
  <conditionalFormatting sqref="Q7">
    <cfRule type="expression" dxfId="1664" priority="31">
      <formula>Q7&gt;0</formula>
    </cfRule>
    <cfRule type="expression" dxfId="1663" priority="32">
      <formula>Q7&lt;0</formula>
    </cfRule>
  </conditionalFormatting>
  <conditionalFormatting sqref="Q8">
    <cfRule type="expression" dxfId="1662" priority="29">
      <formula>Q8&gt;0</formula>
    </cfRule>
    <cfRule type="expression" dxfId="1661" priority="30">
      <formula>Q8&lt;0</formula>
    </cfRule>
  </conditionalFormatting>
  <conditionalFormatting sqref="F30:F46">
    <cfRule type="expression" dxfId="1660" priority="27">
      <formula>F30&gt;0</formula>
    </cfRule>
    <cfRule type="expression" dxfId="1659" priority="28">
      <formula>F30&lt;0</formula>
    </cfRule>
  </conditionalFormatting>
  <conditionalFormatting sqref="H30:H46">
    <cfRule type="expression" dxfId="1658" priority="25">
      <formula>H30&gt;0</formula>
    </cfRule>
    <cfRule type="expression" dxfId="1657" priority="26">
      <formula>H30&lt;0</formula>
    </cfRule>
  </conditionalFormatting>
  <conditionalFormatting sqref="Q10">
    <cfRule type="expression" dxfId="1656" priority="23">
      <formula>Q10&gt;0</formula>
    </cfRule>
    <cfRule type="expression" dxfId="1655" priority="24">
      <formula>Q10&lt;0</formula>
    </cfRule>
  </conditionalFormatting>
  <conditionalFormatting sqref="J25:J38">
    <cfRule type="expression" dxfId="1654" priority="21">
      <formula>J25&gt;0</formula>
    </cfRule>
    <cfRule type="expression" dxfId="1653" priority="22">
      <formula>J25&lt;0</formula>
    </cfRule>
  </conditionalFormatting>
  <conditionalFormatting sqref="K25:K33">
    <cfRule type="expression" dxfId="1652" priority="19">
      <formula>K25&gt;0</formula>
    </cfRule>
    <cfRule type="expression" dxfId="1651" priority="20">
      <formula>K25&lt;0</formula>
    </cfRule>
  </conditionalFormatting>
  <conditionalFormatting sqref="L25:L38">
    <cfRule type="expression" dxfId="1650" priority="17">
      <formula>L25&gt;0</formula>
    </cfRule>
    <cfRule type="expression" dxfId="1649" priority="18">
      <formula>L25&lt;0</formula>
    </cfRule>
  </conditionalFormatting>
  <conditionalFormatting sqref="F89:F110">
    <cfRule type="expression" dxfId="1648" priority="15">
      <formula>F89&gt;0</formula>
    </cfRule>
    <cfRule type="expression" dxfId="1647" priority="16">
      <formula>F89&lt;0</formula>
    </cfRule>
  </conditionalFormatting>
  <conditionalFormatting sqref="H89:H110">
    <cfRule type="expression" dxfId="1646" priority="13">
      <formula>H89&gt;0</formula>
    </cfRule>
    <cfRule type="expression" dxfId="1645" priority="14">
      <formula>H89&lt;0</formula>
    </cfRule>
  </conditionalFormatting>
  <conditionalFormatting sqref="J89:J102">
    <cfRule type="expression" dxfId="1644" priority="11">
      <formula>J89&gt;0</formula>
    </cfRule>
    <cfRule type="expression" dxfId="1643" priority="12">
      <formula>J89&lt;0</formula>
    </cfRule>
  </conditionalFormatting>
  <conditionalFormatting sqref="K89:K102">
    <cfRule type="expression" dxfId="1642" priority="9">
      <formula>K89&gt;0</formula>
    </cfRule>
    <cfRule type="expression" dxfId="1641" priority="10">
      <formula>K89&lt;0</formula>
    </cfRule>
  </conditionalFormatting>
  <conditionalFormatting sqref="L89:L102">
    <cfRule type="expression" dxfId="1640" priority="7">
      <formula>L89&gt;0</formula>
    </cfRule>
    <cfRule type="expression" dxfId="1639" priority="8">
      <formula>L89&lt;0</formula>
    </cfRule>
  </conditionalFormatting>
  <conditionalFormatting sqref="F25:F29">
    <cfRule type="expression" dxfId="1638" priority="5">
      <formula>F25&gt;0</formula>
    </cfRule>
    <cfRule type="expression" dxfId="1637" priority="6">
      <formula>F25&lt;0</formula>
    </cfRule>
  </conditionalFormatting>
  <conditionalFormatting sqref="H25:H29">
    <cfRule type="expression" dxfId="1636" priority="3">
      <formula>H25&gt;0</formula>
    </cfRule>
    <cfRule type="expression" dxfId="1635" priority="4">
      <formula>H25&lt;0</formula>
    </cfRule>
  </conditionalFormatting>
  <conditionalFormatting sqref="F29">
    <cfRule type="expression" dxfId="1634" priority="1">
      <formula>F29&gt;0</formula>
    </cfRule>
    <cfRule type="expression" dxfId="1633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959</v>
      </c>
      <c r="B2" s="434">
        <v>43178</v>
      </c>
      <c r="C2" s="7">
        <v>50</v>
      </c>
      <c r="D2" s="43">
        <v>90.58</v>
      </c>
      <c r="E2" s="43">
        <v>0</v>
      </c>
      <c r="F2" s="43">
        <f t="shared" ref="F2" si="0"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102.01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102.01</v>
      </c>
      <c r="R4" s="495">
        <v>1.44E-2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6.2738947162042933E-3</v>
      </c>
      <c r="R11">
        <v>0.16</v>
      </c>
    </row>
    <row r="12" spans="1:21" x14ac:dyDescent="0.25">
      <c r="H12" s="70"/>
      <c r="O12" s="11" t="s">
        <v>995</v>
      </c>
      <c r="Q12" s="1"/>
    </row>
    <row r="13" spans="1:21" x14ac:dyDescent="0.25">
      <c r="H13" s="70"/>
      <c r="O13" s="11" t="s">
        <v>973</v>
      </c>
      <c r="Q13" s="2">
        <f>Q4/7.38</f>
        <v>13.82249322493225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112.21100000000001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111.19090000000001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2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110.17080000000001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2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109.15070000000001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2">
        <f t="shared" ref="H27" si="10"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1"/>
        <v>108.13060000000002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 t="shared" ref="F28" si="11">C28*(E28-D28)</f>
        <v>307</v>
      </c>
      <c r="G28" s="39">
        <f t="shared" ref="G28" si="12">D28*C28</f>
        <v>4529</v>
      </c>
      <c r="H28" s="222">
        <f t="shared" ref="H28" si="13">(E28-D28)/D28</f>
        <v>6.7785383086774134E-2</v>
      </c>
      <c r="I28" s="39"/>
      <c r="J28" s="39"/>
      <c r="K28" s="39"/>
      <c r="L28" s="155"/>
      <c r="O28" s="81">
        <v>1.05</v>
      </c>
      <c r="P28" s="81">
        <f t="shared" si="1"/>
        <v>107.11050000000002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 t="shared" ref="F29" si="14">C29*(E29-D29)</f>
        <v>519.5</v>
      </c>
      <c r="G29" s="39">
        <f t="shared" ref="G29" si="15">D29*C29</f>
        <v>4529</v>
      </c>
      <c r="H29" s="222">
        <f t="shared" ref="H29" si="16">(E29-D29)/D29</f>
        <v>0.11470523294325459</v>
      </c>
      <c r="I29" s="39"/>
      <c r="J29" s="39"/>
      <c r="K29" s="39"/>
      <c r="L29" s="155"/>
      <c r="O29" s="81">
        <v>1.04</v>
      </c>
      <c r="P29" s="81">
        <f t="shared" si="1"/>
        <v>106.0904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1"/>
        <v>105.0703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1"/>
        <v>104.0502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103.0301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102.01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100.98990000000001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99.969800000000006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98.949700000000007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97.929600000000008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96.909499999999994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95.889399999999995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94.86930000000001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93.84920000000001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92.829100000000011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91.809000000000012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32" priority="31">
      <formula>F47&gt;0</formula>
    </cfRule>
    <cfRule type="expression" dxfId="1631" priority="32">
      <formula>F47&lt;0</formula>
    </cfRule>
  </conditionalFormatting>
  <conditionalFormatting sqref="Q7">
    <cfRule type="expression" dxfId="1630" priority="29">
      <formula>Q7&gt;0</formula>
    </cfRule>
    <cfRule type="expression" dxfId="1629" priority="30">
      <formula>Q7&lt;0</formula>
    </cfRule>
  </conditionalFormatting>
  <conditionalFormatting sqref="Q8">
    <cfRule type="expression" dxfId="1628" priority="27">
      <formula>Q8&gt;0</formula>
    </cfRule>
    <cfRule type="expression" dxfId="1627" priority="28">
      <formula>Q8&lt;0</formula>
    </cfRule>
  </conditionalFormatting>
  <conditionalFormatting sqref="F30:F46">
    <cfRule type="expression" dxfId="1626" priority="25">
      <formula>F30&gt;0</formula>
    </cfRule>
    <cfRule type="expression" dxfId="1625" priority="26">
      <formula>F30&lt;0</formula>
    </cfRule>
  </conditionalFormatting>
  <conditionalFormatting sqref="H30:H46">
    <cfRule type="expression" dxfId="1624" priority="23">
      <formula>H30&gt;0</formula>
    </cfRule>
    <cfRule type="expression" dxfId="1623" priority="24">
      <formula>H30&lt;0</formula>
    </cfRule>
  </conditionalFormatting>
  <conditionalFormatting sqref="Q10">
    <cfRule type="expression" dxfId="1622" priority="21">
      <formula>Q10&gt;0</formula>
    </cfRule>
    <cfRule type="expression" dxfId="1621" priority="22">
      <formula>Q10&lt;0</formula>
    </cfRule>
  </conditionalFormatting>
  <conditionalFormatting sqref="J25:J38">
    <cfRule type="expression" dxfId="1620" priority="19">
      <formula>J25&gt;0</formula>
    </cfRule>
    <cfRule type="expression" dxfId="1619" priority="20">
      <formula>J25&lt;0</formula>
    </cfRule>
  </conditionalFormatting>
  <conditionalFormatting sqref="K25:K38">
    <cfRule type="expression" dxfId="1618" priority="17">
      <formula>K25&gt;0</formula>
    </cfRule>
    <cfRule type="expression" dxfId="1617" priority="18">
      <formula>K25&lt;0</formula>
    </cfRule>
  </conditionalFormatting>
  <conditionalFormatting sqref="L25:L38">
    <cfRule type="expression" dxfId="1616" priority="15">
      <formula>L25&gt;0</formula>
    </cfRule>
    <cfRule type="expression" dxfId="1615" priority="16">
      <formula>L25&lt;0</formula>
    </cfRule>
  </conditionalFormatting>
  <conditionalFormatting sqref="F89:F110">
    <cfRule type="expression" dxfId="1614" priority="13">
      <formula>F89&gt;0</formula>
    </cfRule>
    <cfRule type="expression" dxfId="1613" priority="14">
      <formula>F89&lt;0</formula>
    </cfRule>
  </conditionalFormatting>
  <conditionalFormatting sqref="H89:H110">
    <cfRule type="expression" dxfId="1612" priority="11">
      <formula>H89&gt;0</formula>
    </cfRule>
    <cfRule type="expression" dxfId="1611" priority="12">
      <formula>H89&lt;0</formula>
    </cfRule>
  </conditionalFormatting>
  <conditionalFormatting sqref="J89:J102">
    <cfRule type="expression" dxfId="1610" priority="9">
      <formula>J89&gt;0</formula>
    </cfRule>
    <cfRule type="expression" dxfId="1609" priority="10">
      <formula>J89&lt;0</formula>
    </cfRule>
  </conditionalFormatting>
  <conditionalFormatting sqref="K89:K102">
    <cfRule type="expression" dxfId="1608" priority="7">
      <formula>K89&gt;0</formula>
    </cfRule>
    <cfRule type="expression" dxfId="1607" priority="8">
      <formula>K89&lt;0</formula>
    </cfRule>
  </conditionalFormatting>
  <conditionalFormatting sqref="L89:L102">
    <cfRule type="expression" dxfId="1606" priority="5">
      <formula>L89&gt;0</formula>
    </cfRule>
    <cfRule type="expression" dxfId="1605" priority="6">
      <formula>L89&lt;0</formula>
    </cfRule>
  </conditionalFormatting>
  <conditionalFormatting sqref="F25:F29">
    <cfRule type="expression" dxfId="1604" priority="3">
      <formula>F25&gt;0</formula>
    </cfRule>
    <cfRule type="expression" dxfId="1603" priority="4">
      <formula>F25&lt;0</formula>
    </cfRule>
  </conditionalFormatting>
  <conditionalFormatting sqref="H25:H29">
    <cfRule type="expression" dxfId="1602" priority="1">
      <formula>H25&gt;0</formula>
    </cfRule>
    <cfRule type="expression" dxfId="160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72">
        <v>43180</v>
      </c>
      <c r="C2" s="4">
        <v>100</v>
      </c>
      <c r="D2" s="3">
        <v>60.57</v>
      </c>
      <c r="E2" s="3">
        <v>0</v>
      </c>
      <c r="F2" s="3">
        <f t="shared" ref="F2:F4" si="0"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>H2*I2-J2</f>
        <v>2918.96</v>
      </c>
      <c r="L2" s="72"/>
      <c r="M2" s="3"/>
      <c r="O2" s="11" t="s">
        <v>57</v>
      </c>
      <c r="Q2">
        <f>C18-H18</f>
        <v>150</v>
      </c>
      <c r="T2" s="1"/>
      <c r="U2" t="s">
        <v>1168</v>
      </c>
    </row>
    <row r="3" spans="1:21" x14ac:dyDescent="0.25">
      <c r="A3" s="22" t="s">
        <v>71</v>
      </c>
      <c r="B3" s="434">
        <v>43209</v>
      </c>
      <c r="C3" s="4">
        <v>50</v>
      </c>
      <c r="D3" s="3">
        <v>58.38</v>
      </c>
      <c r="E3" s="3">
        <v>0</v>
      </c>
      <c r="F3" s="3">
        <f t="shared" si="0"/>
        <v>2919</v>
      </c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58.980266666666672</v>
      </c>
      <c r="T3" s="1"/>
    </row>
    <row r="4" spans="1:21" x14ac:dyDescent="0.25">
      <c r="B4" s="474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58.0199</v>
      </c>
      <c r="R4" s="495">
        <v>-4.3E-3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8702.9850000000006</v>
      </c>
      <c r="T5" s="1">
        <v>43209</v>
      </c>
      <c r="U5" t="s">
        <v>1007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8847.0400000000009</v>
      </c>
      <c r="U6" t="s">
        <v>1008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-144.05500000000029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-144.05500000000029</v>
      </c>
      <c r="T8" s="1">
        <v>43216</v>
      </c>
      <c r="U8" t="s">
        <v>1033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-1.6282847144355659E-2</v>
      </c>
      <c r="T9" s="156"/>
      <c r="U9" t="s">
        <v>1034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4.550162961328786E-2</v>
      </c>
      <c r="R11">
        <f>0.22</f>
        <v>0.22</v>
      </c>
      <c r="T11" s="1">
        <v>43285</v>
      </c>
      <c r="U11" t="s">
        <v>1167</v>
      </c>
    </row>
    <row r="12" spans="1:21" x14ac:dyDescent="0.25">
      <c r="H12" s="70"/>
      <c r="O12" s="11" t="s">
        <v>946</v>
      </c>
      <c r="Q12" s="1" t="s">
        <v>1138</v>
      </c>
    </row>
    <row r="13" spans="1:21" x14ac:dyDescent="0.25">
      <c r="H13" s="70"/>
      <c r="O13" s="11" t="s">
        <v>973</v>
      </c>
      <c r="Q13" s="2">
        <f>Q4/(3.9+4.03)*2</f>
        <v>14.633013871374528</v>
      </c>
    </row>
    <row r="14" spans="1:21" x14ac:dyDescent="0.25">
      <c r="H14" s="70"/>
      <c r="T14" s="156">
        <v>43300</v>
      </c>
      <c r="U14" t="s">
        <v>1196</v>
      </c>
    </row>
    <row r="15" spans="1:21" x14ac:dyDescent="0.25">
      <c r="H15" s="70"/>
    </row>
    <row r="16" spans="1:21" ht="20.25" thickBot="1" x14ac:dyDescent="0.35">
      <c r="H16" s="70"/>
      <c r="O16" s="851" t="s">
        <v>78</v>
      </c>
      <c r="P16" s="851"/>
    </row>
    <row r="17" spans="1:16" ht="15.75" thickTop="1" x14ac:dyDescent="0.25">
      <c r="O17" s="81">
        <v>1.1000000000000001</v>
      </c>
      <c r="P17" s="81">
        <f>O17*$Q$4</f>
        <v>63.821890000000003</v>
      </c>
    </row>
    <row r="18" spans="1:16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11766</v>
      </c>
      <c r="G18" s="14"/>
      <c r="H18" s="71">
        <f>SUM(H2:H5)</f>
        <v>50</v>
      </c>
      <c r="I18" s="18"/>
      <c r="J18" s="18"/>
      <c r="K18" s="18">
        <f>SUM(K2:K5)</f>
        <v>2918.96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63.241691000000003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2790</v>
      </c>
      <c r="G19" s="343"/>
      <c r="H19" s="343">
        <f>SumByColor($A$19,H2:H17)</f>
        <v>50</v>
      </c>
      <c r="I19" s="343"/>
      <c r="J19" s="343"/>
      <c r="K19" s="344">
        <f>SumByColor($A$19,K2:K17)</f>
        <v>2919</v>
      </c>
      <c r="L19" s="343"/>
      <c r="M19" s="344">
        <f>SumByColor($A$19,M2:M17)</f>
        <v>0</v>
      </c>
      <c r="O19" s="81">
        <v>1.08</v>
      </c>
      <c r="P19" s="81">
        <f t="shared" si="1"/>
        <v>62.661492000000003</v>
      </c>
    </row>
    <row r="20" spans="1:16" x14ac:dyDescent="0.25">
      <c r="O20" s="81">
        <v>1.07</v>
      </c>
      <c r="P20" s="81">
        <f t="shared" si="1"/>
        <v>62.081293000000002</v>
      </c>
    </row>
    <row r="21" spans="1:16" x14ac:dyDescent="0.25">
      <c r="O21" s="81">
        <v>1.06</v>
      </c>
      <c r="P21" s="81">
        <f t="shared" si="1"/>
        <v>61.501094000000002</v>
      </c>
    </row>
    <row r="22" spans="1:16" x14ac:dyDescent="0.25">
      <c r="O22" s="81">
        <v>1.05</v>
      </c>
      <c r="P22" s="81">
        <f t="shared" si="1"/>
        <v>60.920895000000002</v>
      </c>
    </row>
    <row r="23" spans="1:16" x14ac:dyDescent="0.25">
      <c r="O23" s="81">
        <v>1.04</v>
      </c>
      <c r="P23" s="81">
        <f t="shared" si="1"/>
        <v>60.340696000000001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669</v>
      </c>
      <c r="L24" s="220" t="s">
        <v>497</v>
      </c>
      <c r="O24" s="81">
        <v>1.03</v>
      </c>
      <c r="P24" s="81">
        <f t="shared" si="1"/>
        <v>59.760497000000001</v>
      </c>
    </row>
    <row r="25" spans="1:16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2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59.180298000000001</v>
      </c>
    </row>
    <row r="26" spans="1:16" x14ac:dyDescent="0.25">
      <c r="B26" s="184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2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58.600099</v>
      </c>
    </row>
    <row r="27" spans="1:16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ref="F27" si="8">C27*(E27-D27)</f>
        <v>-309.00000000000034</v>
      </c>
      <c r="G27" s="39">
        <f t="shared" ref="G27" si="9">D27*C27</f>
        <v>8976</v>
      </c>
      <c r="H27" s="222">
        <f t="shared" ref="H27" si="10">(E27-D27)/D27</f>
        <v>-3.4425133689839606E-2</v>
      </c>
      <c r="I27" s="39"/>
      <c r="J27" s="39"/>
      <c r="K27" s="39"/>
      <c r="L27" s="39"/>
      <c r="O27" s="81">
        <v>1</v>
      </c>
      <c r="P27" s="81">
        <f t="shared" si="1"/>
        <v>58.0199</v>
      </c>
    </row>
    <row r="28" spans="1:16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ref="F28:F31" si="11">C28*(E28-D28)</f>
        <v>-760.5</v>
      </c>
      <c r="G28" s="39">
        <f t="shared" ref="G28:G31" si="12">D28*C28</f>
        <v>8976</v>
      </c>
      <c r="H28" s="222">
        <f t="shared" ref="H28:H31" si="13">(E28-D28)/D28</f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1"/>
        <v>57.439700999999999</v>
      </c>
    </row>
    <row r="29" spans="1:16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11"/>
        <v>-577.50000000000023</v>
      </c>
      <c r="G29" s="39">
        <f t="shared" si="12"/>
        <v>8976</v>
      </c>
      <c r="H29" s="222">
        <f t="shared" si="13"/>
        <v>-6.4338235294117668E-2</v>
      </c>
      <c r="I29" s="39"/>
      <c r="J29" s="39"/>
      <c r="K29" s="39"/>
      <c r="L29" s="39">
        <v>14.12</v>
      </c>
      <c r="O29" s="81">
        <v>0.98</v>
      </c>
      <c r="P29" s="81">
        <f t="shared" si="1"/>
        <v>56.859501999999999</v>
      </c>
    </row>
    <row r="30" spans="1:16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11"/>
        <v>-592.00000000000023</v>
      </c>
      <c r="G30" s="39">
        <f t="shared" si="12"/>
        <v>11766</v>
      </c>
      <c r="H30" s="222">
        <f t="shared" si="13"/>
        <v>-5.0314465408805048E-2</v>
      </c>
      <c r="I30" s="39"/>
      <c r="J30" s="39"/>
      <c r="K30" s="39"/>
      <c r="L30" s="39">
        <v>14.09</v>
      </c>
      <c r="O30" s="81">
        <v>0.97</v>
      </c>
      <c r="P30" s="81">
        <f t="shared" si="1"/>
        <v>56.279302999999999</v>
      </c>
    </row>
    <row r="31" spans="1:16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11"/>
        <v>-473.99999999999949</v>
      </c>
      <c r="G31" s="39">
        <f t="shared" si="12"/>
        <v>11766</v>
      </c>
      <c r="H31" s="222">
        <f t="shared" si="13"/>
        <v>-4.0285568587455335E-2</v>
      </c>
      <c r="I31" s="39"/>
      <c r="J31" s="39"/>
      <c r="K31" s="39"/>
      <c r="L31" s="39">
        <v>14.24</v>
      </c>
      <c r="O31" s="81">
        <v>0.96</v>
      </c>
      <c r="P31" s="81">
        <f t="shared" si="1"/>
        <v>55.699103999999998</v>
      </c>
    </row>
    <row r="32" spans="1:16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ref="F32" si="14">C32*(E32-D32)</f>
        <v>-202.49999999999915</v>
      </c>
      <c r="G32" s="39">
        <f t="shared" ref="G32" si="15">D32*C32</f>
        <v>8847</v>
      </c>
      <c r="H32" s="222">
        <f t="shared" ref="H32" si="16">(E32-D32)/D32</f>
        <v>-2.2889114954221676E-2</v>
      </c>
      <c r="I32" s="39"/>
      <c r="J32" s="39"/>
      <c r="K32" s="39"/>
      <c r="L32" s="39">
        <v>14.53</v>
      </c>
      <c r="O32" s="81">
        <v>0.95</v>
      </c>
      <c r="P32" s="81">
        <f t="shared" si="1"/>
        <v>55.118904999999998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1"/>
        <v>54.538705999999998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1"/>
        <v>53.958507000000004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1"/>
        <v>53.378308000000004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1"/>
        <v>52.798109000000004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52.217910000000003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00" priority="35">
      <formula>F47&gt;0</formula>
    </cfRule>
    <cfRule type="expression" dxfId="1599" priority="36">
      <formula>F47&lt;0</formula>
    </cfRule>
  </conditionalFormatting>
  <conditionalFormatting sqref="Q7">
    <cfRule type="expression" dxfId="1598" priority="33">
      <formula>Q7&gt;0</formula>
    </cfRule>
    <cfRule type="expression" dxfId="1597" priority="34">
      <formula>Q7&lt;0</formula>
    </cfRule>
  </conditionalFormatting>
  <conditionalFormatting sqref="Q8">
    <cfRule type="expression" dxfId="1596" priority="31">
      <formula>Q8&gt;0</formula>
    </cfRule>
    <cfRule type="expression" dxfId="1595" priority="32">
      <formula>Q8&lt;0</formula>
    </cfRule>
  </conditionalFormatting>
  <conditionalFormatting sqref="F30:F46">
    <cfRule type="expression" dxfId="1594" priority="29">
      <formula>F30&gt;0</formula>
    </cfRule>
    <cfRule type="expression" dxfId="1593" priority="30">
      <formula>F30&lt;0</formula>
    </cfRule>
  </conditionalFormatting>
  <conditionalFormatting sqref="H30:H46">
    <cfRule type="expression" dxfId="1592" priority="27">
      <formula>H30&gt;0</formula>
    </cfRule>
    <cfRule type="expression" dxfId="1591" priority="28">
      <formula>H30&lt;0</formula>
    </cfRule>
  </conditionalFormatting>
  <conditionalFormatting sqref="Q10">
    <cfRule type="expression" dxfId="1590" priority="25">
      <formula>Q10&gt;0</formula>
    </cfRule>
    <cfRule type="expression" dxfId="1589" priority="26">
      <formula>Q10&lt;0</formula>
    </cfRule>
  </conditionalFormatting>
  <conditionalFormatting sqref="J25:J38">
    <cfRule type="expression" dxfId="1588" priority="23">
      <formula>J25&gt;0</formula>
    </cfRule>
    <cfRule type="expression" dxfId="1587" priority="24">
      <formula>J25&lt;0</formula>
    </cfRule>
  </conditionalFormatting>
  <conditionalFormatting sqref="K25:K38">
    <cfRule type="expression" dxfId="1586" priority="21">
      <formula>K25&gt;0</formula>
    </cfRule>
    <cfRule type="expression" dxfId="1585" priority="22">
      <formula>K25&lt;0</formula>
    </cfRule>
  </conditionalFormatting>
  <conditionalFormatting sqref="L25 L38">
    <cfRule type="expression" dxfId="1584" priority="19">
      <formula>L25&gt;0</formula>
    </cfRule>
    <cfRule type="expression" dxfId="1583" priority="20">
      <formula>L25&lt;0</formula>
    </cfRule>
  </conditionalFormatting>
  <conditionalFormatting sqref="F89:F110">
    <cfRule type="expression" dxfId="1582" priority="17">
      <formula>F89&gt;0</formula>
    </cfRule>
    <cfRule type="expression" dxfId="1581" priority="18">
      <formula>F89&lt;0</formula>
    </cfRule>
  </conditionalFormatting>
  <conditionalFormatting sqref="H89:H110">
    <cfRule type="expression" dxfId="1580" priority="15">
      <formula>H89&gt;0</formula>
    </cfRule>
    <cfRule type="expression" dxfId="1579" priority="16">
      <formula>H89&lt;0</formula>
    </cfRule>
  </conditionalFormatting>
  <conditionalFormatting sqref="J89:J102">
    <cfRule type="expression" dxfId="1578" priority="13">
      <formula>J89&gt;0</formula>
    </cfRule>
    <cfRule type="expression" dxfId="1577" priority="14">
      <formula>J89&lt;0</formula>
    </cfRule>
  </conditionalFormatting>
  <conditionalFormatting sqref="K89:K102">
    <cfRule type="expression" dxfId="1576" priority="11">
      <formula>K89&gt;0</formula>
    </cfRule>
    <cfRule type="expression" dxfId="1575" priority="12">
      <formula>K89&lt;0</formula>
    </cfRule>
  </conditionalFormatting>
  <conditionalFormatting sqref="L89:L102">
    <cfRule type="expression" dxfId="1574" priority="9">
      <formula>L89&gt;0</formula>
    </cfRule>
    <cfRule type="expression" dxfId="1573" priority="10">
      <formula>L89&lt;0</formula>
    </cfRule>
  </conditionalFormatting>
  <conditionalFormatting sqref="F25 F29">
    <cfRule type="expression" dxfId="1572" priority="7">
      <formula>F25&gt;0</formula>
    </cfRule>
    <cfRule type="expression" dxfId="1571" priority="8">
      <formula>F25&lt;0</formula>
    </cfRule>
  </conditionalFormatting>
  <conditionalFormatting sqref="H25 H29">
    <cfRule type="expression" dxfId="1570" priority="5">
      <formula>H25&gt;0</formula>
    </cfRule>
    <cfRule type="expression" dxfId="1569" priority="6">
      <formula>H25&lt;0</formula>
    </cfRule>
  </conditionalFormatting>
  <conditionalFormatting sqref="F26:F28">
    <cfRule type="expression" dxfId="1568" priority="3">
      <formula>F26&gt;0</formula>
    </cfRule>
    <cfRule type="expression" dxfId="1567" priority="4">
      <formula>F26&lt;0</formula>
    </cfRule>
  </conditionalFormatting>
  <conditionalFormatting sqref="H26:H28">
    <cfRule type="expression" dxfId="1566" priority="1">
      <formula>H26&gt;0</formula>
    </cfRule>
    <cfRule type="expression" dxfId="1565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43136</v>
      </c>
      <c r="C2" s="4">
        <v>100</v>
      </c>
      <c r="D2" s="3">
        <v>36.58</v>
      </c>
      <c r="E2" s="3">
        <v>0</v>
      </c>
      <c r="F2" s="3">
        <f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100</v>
      </c>
      <c r="T2" s="1"/>
      <c r="U2" t="s">
        <v>1091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>C3*D3+E3</f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>H3*I3-J3</f>
        <v>3449.96</v>
      </c>
      <c r="L3" s="4"/>
      <c r="M3" s="4"/>
      <c r="O3" s="11" t="s">
        <v>58</v>
      </c>
      <c r="Q3" s="221">
        <f>IF(Q2=0, Q4, (F18-K18-M18)/Q2)</f>
        <v>32.211599999999997</v>
      </c>
      <c r="T3" s="1">
        <v>43215</v>
      </c>
      <c r="U3" t="s">
        <v>1029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>C4*D4+E4</f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>H4*I4-J4</f>
        <v>3288.96</v>
      </c>
      <c r="L4" s="4"/>
      <c r="M4" s="4"/>
      <c r="O4" s="11" t="s">
        <v>66</v>
      </c>
      <c r="Q4" s="54">
        <v>32.149900000000002</v>
      </c>
      <c r="R4" s="495">
        <v>-1.5599999999999999E-2</v>
      </c>
      <c r="T4" s="770"/>
      <c r="U4" s="30" t="s">
        <v>1030</v>
      </c>
    </row>
    <row r="5" spans="1:21" x14ac:dyDescent="0.25">
      <c r="B5" s="474">
        <v>43264</v>
      </c>
      <c r="C5" s="7">
        <v>100</v>
      </c>
      <c r="D5" s="43">
        <v>32.25</v>
      </c>
      <c r="E5" s="43">
        <v>0</v>
      </c>
      <c r="F5" s="43">
        <f>C5*D5+E5</f>
        <v>3225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3214.9900000000002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3221.16</v>
      </c>
      <c r="T6" s="1">
        <v>43216</v>
      </c>
      <c r="U6" t="s">
        <v>1031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-6.169999999999618</v>
      </c>
      <c r="R7" s="29">
        <v>43297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-6.169999999999618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-1.9154590271826355E-3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R11*2/Q4</f>
        <v>3.110429581429491E-2</v>
      </c>
      <c r="R11">
        <v>0.5</v>
      </c>
    </row>
    <row r="12" spans="1:21" x14ac:dyDescent="0.25">
      <c r="H12" s="70"/>
      <c r="O12" s="11" t="s">
        <v>946</v>
      </c>
    </row>
    <row r="13" spans="1:21" x14ac:dyDescent="0.25">
      <c r="H13" s="70"/>
      <c r="O13" s="11" t="s">
        <v>973</v>
      </c>
      <c r="Q13">
        <f>Q4/3.47</f>
        <v>9.2651008645533146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13359</v>
      </c>
      <c r="G18" s="14"/>
      <c r="H18" s="71">
        <f>SUM(H2:H5)</f>
        <v>300</v>
      </c>
      <c r="I18" s="18"/>
      <c r="J18" s="18"/>
      <c r="K18" s="18">
        <f>SUM(K2:K5)</f>
        <v>10087.84</v>
      </c>
      <c r="L18" s="14"/>
      <c r="M18" s="18">
        <f>SUM(M2:M10)</f>
        <v>50</v>
      </c>
    </row>
    <row r="19" spans="1:13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9701</v>
      </c>
      <c r="G19" s="343"/>
      <c r="H19" s="343">
        <f>SumByColor($A$19,H2:H17)</f>
        <v>300</v>
      </c>
      <c r="I19" s="343"/>
      <c r="J19" s="343"/>
      <c r="K19" s="344">
        <f>SumByColor($A$19,K2:K17)</f>
        <v>10088</v>
      </c>
      <c r="L19" s="343"/>
      <c r="M19" s="344">
        <f>SumByColor($A$19,M2:M17)</f>
        <v>50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669</v>
      </c>
      <c r="L24" s="220"/>
    </row>
    <row r="25" spans="1:13" x14ac:dyDescent="0.25">
      <c r="B25" s="184">
        <v>43185</v>
      </c>
      <c r="C25" s="228">
        <v>100</v>
      </c>
      <c r="D25" s="229">
        <v>36.58</v>
      </c>
      <c r="E25" s="39">
        <v>34.69</v>
      </c>
      <c r="F25" s="39">
        <f t="shared" ref="F25" si="0">C25*(E25-D25)</f>
        <v>-189.00000000000006</v>
      </c>
      <c r="G25" s="39">
        <f t="shared" ref="G25" si="1">D25*C25</f>
        <v>3658</v>
      </c>
      <c r="H25" s="222">
        <f t="shared" ref="H25" si="2">(E25-D25)/D25</f>
        <v>-5.166757791142703E-2</v>
      </c>
      <c r="I25" s="39"/>
      <c r="J25" s="39"/>
      <c r="K25" s="39"/>
      <c r="L25" s="39" t="s">
        <v>1032</v>
      </c>
    </row>
    <row r="26" spans="1:13" x14ac:dyDescent="0.25">
      <c r="A26">
        <v>100</v>
      </c>
      <c r="B26" s="184">
        <v>43216</v>
      </c>
      <c r="C26" s="7">
        <v>200</v>
      </c>
      <c r="D26" s="43">
        <v>34.630000000000003</v>
      </c>
      <c r="E26" s="39">
        <v>33.1</v>
      </c>
      <c r="F26" s="39">
        <f t="shared" ref="F26" si="3">C26*(E26-D26)</f>
        <v>-306.00000000000023</v>
      </c>
      <c r="G26" s="39">
        <f t="shared" ref="G26" si="4">D26*C26</f>
        <v>6926.0000000000009</v>
      </c>
      <c r="H26" s="222">
        <f t="shared" ref="H26" si="5">(E26-D26)/D26</f>
        <v>-4.4181345654057208E-2</v>
      </c>
      <c r="I26" s="39">
        <v>34</v>
      </c>
      <c r="J26" s="39"/>
      <c r="K26" s="39"/>
      <c r="L26" s="39"/>
    </row>
    <row r="27" spans="1:13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ref="F27" si="6">C27*(E27-D27)</f>
        <v>-228.00000000000011</v>
      </c>
      <c r="G27" s="39">
        <f t="shared" ref="G27" si="7">D27*C27</f>
        <v>3577.0000000000005</v>
      </c>
      <c r="H27" s="222">
        <f t="shared" ref="H27" si="8">(E27-D27)/D27</f>
        <v>-6.3740564719038328E-2</v>
      </c>
      <c r="I27" s="39">
        <v>35.25</v>
      </c>
      <c r="J27" s="39"/>
      <c r="K27" s="39"/>
      <c r="L27" s="155"/>
    </row>
    <row r="28" spans="1:13" x14ac:dyDescent="0.25">
      <c r="A28">
        <v>0</v>
      </c>
      <c r="B28" s="184">
        <v>43222</v>
      </c>
      <c r="C28" s="228">
        <v>100</v>
      </c>
      <c r="D28" s="229">
        <v>35.270800000000001</v>
      </c>
      <c r="E28" s="39">
        <v>32.06</v>
      </c>
      <c r="F28" s="39">
        <f t="shared" ref="F28:F32" si="9">C28*(E28-D28)</f>
        <v>-321.07999999999993</v>
      </c>
      <c r="G28" s="39">
        <f t="shared" ref="G28:G32" si="10">D28*C28</f>
        <v>3527.08</v>
      </c>
      <c r="H28" s="222">
        <f t="shared" ref="H28:H32" si="11">(E28-D28)/D28</f>
        <v>-9.1032809009152019E-2</v>
      </c>
      <c r="I28" s="39"/>
      <c r="J28" s="39"/>
      <c r="K28" s="39"/>
      <c r="L28" s="155" t="s">
        <v>185</v>
      </c>
    </row>
    <row r="29" spans="1:13" x14ac:dyDescent="0.25">
      <c r="A29">
        <v>0</v>
      </c>
      <c r="B29" s="184">
        <v>43222</v>
      </c>
      <c r="C29" s="7">
        <v>200</v>
      </c>
      <c r="D29" s="43">
        <v>33.675400000000003</v>
      </c>
      <c r="E29" s="39">
        <v>34.18</v>
      </c>
      <c r="F29" s="39">
        <f t="shared" si="9"/>
        <v>100.91999999999928</v>
      </c>
      <c r="G29" s="39">
        <f t="shared" si="10"/>
        <v>6735.0800000000008</v>
      </c>
      <c r="H29" s="222">
        <f t="shared" si="11"/>
        <v>1.4984231813133514E-2</v>
      </c>
      <c r="I29" s="39">
        <v>33.5</v>
      </c>
      <c r="J29" s="39"/>
      <c r="K29" s="39"/>
      <c r="L29" s="155"/>
    </row>
    <row r="30" spans="1:13" x14ac:dyDescent="0.25">
      <c r="A30">
        <v>200</v>
      </c>
      <c r="B30" s="184">
        <v>43263</v>
      </c>
      <c r="C30" s="228">
        <v>100</v>
      </c>
      <c r="D30" s="229">
        <v>32.851199999999999</v>
      </c>
      <c r="E30" s="39">
        <v>34.35</v>
      </c>
      <c r="F30" s="39">
        <f t="shared" si="9"/>
        <v>149.88000000000028</v>
      </c>
      <c r="G30" s="39">
        <f t="shared" si="10"/>
        <v>3285.12</v>
      </c>
      <c r="H30" s="222">
        <f t="shared" si="11"/>
        <v>4.5623904149620191E-2</v>
      </c>
      <c r="I30" s="193" t="s">
        <v>1128</v>
      </c>
      <c r="J30" s="39"/>
      <c r="K30" s="39"/>
      <c r="L30" s="155"/>
    </row>
    <row r="31" spans="1:13" x14ac:dyDescent="0.25">
      <c r="B31" s="184">
        <v>43264</v>
      </c>
      <c r="C31" s="7">
        <v>200</v>
      </c>
      <c r="D31" s="43">
        <v>32.550600000000003</v>
      </c>
      <c r="E31" s="39">
        <v>32.22</v>
      </c>
      <c r="F31" s="39">
        <f t="shared" si="9"/>
        <v>-66.1200000000008</v>
      </c>
      <c r="G31" s="39">
        <f t="shared" si="10"/>
        <v>6510.1200000000008</v>
      </c>
      <c r="H31" s="222">
        <f t="shared" si="11"/>
        <v>-1.0156494811155678E-2</v>
      </c>
      <c r="I31" s="193" t="s">
        <v>1130</v>
      </c>
      <c r="J31" s="39"/>
      <c r="K31" s="39"/>
      <c r="L31" s="155"/>
    </row>
    <row r="32" spans="1:13" x14ac:dyDescent="0.25">
      <c r="B32" s="184">
        <v>43265</v>
      </c>
      <c r="C32" s="228">
        <v>100</v>
      </c>
      <c r="D32" s="229">
        <v>32.211599999999997</v>
      </c>
      <c r="E32" s="39">
        <v>32.520000000000003</v>
      </c>
      <c r="F32" s="39">
        <f t="shared" si="9"/>
        <v>30.8400000000006</v>
      </c>
      <c r="G32" s="39">
        <f t="shared" si="10"/>
        <v>3221.16</v>
      </c>
      <c r="H32" s="222">
        <f t="shared" si="11"/>
        <v>9.5741906642329479E-3</v>
      </c>
      <c r="I32" s="39">
        <v>32</v>
      </c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35.364890000000003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2">O42*$Q$4</f>
        <v>35.043391000000007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2"/>
        <v>34.721892000000004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2"/>
        <v>34.400393000000001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2"/>
        <v>34.078894000000005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2"/>
        <v>33.757395000000002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2"/>
        <v>33.435896000000007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2"/>
        <v>33.114397000000004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2"/>
        <v>32.792898000000001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2"/>
        <v>32.471399000000005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2"/>
        <v>32.149900000000002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2"/>
        <v>31.828401000000003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2"/>
        <v>31.506902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2"/>
        <v>31.185403000000001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2"/>
        <v>30.863904000000002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2"/>
        <v>30.542405000000002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2"/>
        <v>30.220905999999999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2"/>
        <v>29.899407000000004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2"/>
        <v>29.577908000000004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2"/>
        <v>29.256409000000001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2"/>
        <v>28.934910000000002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64" priority="31">
      <formula>F47&gt;0</formula>
    </cfRule>
    <cfRule type="expression" dxfId="1563" priority="32">
      <formula>F47&lt;0</formula>
    </cfRule>
  </conditionalFormatting>
  <conditionalFormatting sqref="Q7">
    <cfRule type="expression" dxfId="1562" priority="29">
      <formula>Q7&gt;0</formula>
    </cfRule>
    <cfRule type="expression" dxfId="1561" priority="30">
      <formula>Q7&lt;0</formula>
    </cfRule>
  </conditionalFormatting>
  <conditionalFormatting sqref="Q8">
    <cfRule type="expression" dxfId="1560" priority="27">
      <formula>Q8&gt;0</formula>
    </cfRule>
    <cfRule type="expression" dxfId="1559" priority="28">
      <formula>Q8&lt;0</formula>
    </cfRule>
  </conditionalFormatting>
  <conditionalFormatting sqref="F30:F46">
    <cfRule type="expression" dxfId="1558" priority="25">
      <formula>F30&gt;0</formula>
    </cfRule>
    <cfRule type="expression" dxfId="1557" priority="26">
      <formula>F30&lt;0</formula>
    </cfRule>
  </conditionalFormatting>
  <conditionalFormatting sqref="H30:H46">
    <cfRule type="expression" dxfId="1556" priority="23">
      <formula>H30&gt;0</formula>
    </cfRule>
    <cfRule type="expression" dxfId="1555" priority="24">
      <formula>H30&lt;0</formula>
    </cfRule>
  </conditionalFormatting>
  <conditionalFormatting sqref="Q10">
    <cfRule type="expression" dxfId="1554" priority="21">
      <formula>Q10&gt;0</formula>
    </cfRule>
    <cfRule type="expression" dxfId="1553" priority="22">
      <formula>Q10&lt;0</formula>
    </cfRule>
  </conditionalFormatting>
  <conditionalFormatting sqref="J25:J38">
    <cfRule type="expression" dxfId="1552" priority="19">
      <formula>J25&gt;0</formula>
    </cfRule>
    <cfRule type="expression" dxfId="1551" priority="20">
      <formula>J25&lt;0</formula>
    </cfRule>
  </conditionalFormatting>
  <conditionalFormatting sqref="K25:K38">
    <cfRule type="expression" dxfId="1550" priority="17">
      <formula>K25&gt;0</formula>
    </cfRule>
    <cfRule type="expression" dxfId="1549" priority="18">
      <formula>K25&lt;0</formula>
    </cfRule>
  </conditionalFormatting>
  <conditionalFormatting sqref="L25:L38">
    <cfRule type="expression" dxfId="1548" priority="15">
      <formula>L25&gt;0</formula>
    </cfRule>
    <cfRule type="expression" dxfId="1547" priority="16">
      <formula>L25&lt;0</formula>
    </cfRule>
  </conditionalFormatting>
  <conditionalFormatting sqref="F89:F110">
    <cfRule type="expression" dxfId="1546" priority="13">
      <formula>F89&gt;0</formula>
    </cfRule>
    <cfRule type="expression" dxfId="1545" priority="14">
      <formula>F89&lt;0</formula>
    </cfRule>
  </conditionalFormatting>
  <conditionalFormatting sqref="H89:H110">
    <cfRule type="expression" dxfId="1544" priority="11">
      <formula>H89&gt;0</formula>
    </cfRule>
    <cfRule type="expression" dxfId="1543" priority="12">
      <formula>H89&lt;0</formula>
    </cfRule>
  </conditionalFormatting>
  <conditionalFormatting sqref="J89:J102">
    <cfRule type="expression" dxfId="1542" priority="9">
      <formula>J89&gt;0</formula>
    </cfRule>
    <cfRule type="expression" dxfId="1541" priority="10">
      <formula>J89&lt;0</formula>
    </cfRule>
  </conditionalFormatting>
  <conditionalFormatting sqref="K89:K102">
    <cfRule type="expression" dxfId="1540" priority="7">
      <formula>K89&gt;0</formula>
    </cfRule>
    <cfRule type="expression" dxfId="1539" priority="8">
      <formula>K89&lt;0</formula>
    </cfRule>
  </conditionalFormatting>
  <conditionalFormatting sqref="L89:L102">
    <cfRule type="expression" dxfId="1538" priority="5">
      <formula>L89&gt;0</formula>
    </cfRule>
    <cfRule type="expression" dxfId="1537" priority="6">
      <formula>L89&lt;0</formula>
    </cfRule>
  </conditionalFormatting>
  <conditionalFormatting sqref="F25:F29">
    <cfRule type="expression" dxfId="1536" priority="3">
      <formula>F25&gt;0</formula>
    </cfRule>
    <cfRule type="expression" dxfId="1535" priority="4">
      <formula>F25&lt;0</formula>
    </cfRule>
  </conditionalFormatting>
  <conditionalFormatting sqref="H25:H29">
    <cfRule type="expression" dxfId="1534" priority="1">
      <formula>H25&gt;0</formula>
    </cfRule>
    <cfRule type="expression" dxfId="153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681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142.98999999999995</v>
      </c>
      <c r="T3" s="1"/>
      <c r="W3" s="134"/>
    </row>
    <row r="4" spans="1:23" x14ac:dyDescent="0.25">
      <c r="B4" s="7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6"/>
      <c r="I4" s="3"/>
      <c r="J4" s="3"/>
      <c r="K4" s="3"/>
      <c r="L4" s="72">
        <v>43245</v>
      </c>
      <c r="M4" s="43">
        <v>11.4</v>
      </c>
      <c r="O4" s="11" t="s">
        <v>66</v>
      </c>
      <c r="Q4" s="54">
        <v>210.94</v>
      </c>
      <c r="R4" s="495">
        <v>6.3E-3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4218.8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2859.7999999999993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1502.0300000000011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1359.0000000000009</v>
      </c>
      <c r="T8" s="1">
        <v>43237</v>
      </c>
      <c r="U8" t="s">
        <v>1089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0.47520805650744852</v>
      </c>
      <c r="W9" s="134"/>
    </row>
    <row r="10" spans="1:23" x14ac:dyDescent="0.25">
      <c r="H10" s="70"/>
      <c r="O10" s="11" t="s">
        <v>207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2.3703422774248601E-3</v>
      </c>
      <c r="S11">
        <v>0.5</v>
      </c>
      <c r="W11" s="134"/>
    </row>
    <row r="12" spans="1:23" x14ac:dyDescent="0.25">
      <c r="H12" s="70"/>
      <c r="O12" s="11" t="s">
        <v>946</v>
      </c>
      <c r="Q12" s="1"/>
      <c r="W12" s="134"/>
    </row>
    <row r="13" spans="1:23" x14ac:dyDescent="0.25">
      <c r="H13" s="70"/>
      <c r="O13" s="11" t="s">
        <v>973</v>
      </c>
      <c r="Q13">
        <f>Q4/6.86</f>
        <v>30.749271137026238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7805</v>
      </c>
      <c r="G19" s="343"/>
      <c r="H19" s="343">
        <f>SumByColor($A$19,H2:H17)</f>
        <v>50</v>
      </c>
      <c r="I19" s="343"/>
      <c r="J19" s="343"/>
      <c r="K19" s="344">
        <f>SumByColor($A$19,K3:K17)</f>
        <v>3760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497</v>
      </c>
      <c r="L24" s="220" t="s">
        <v>973</v>
      </c>
      <c r="O24" s="851" t="s">
        <v>78</v>
      </c>
      <c r="P24" s="851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2">
        <f t="shared" ref="H25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232.03400000000002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2">
        <f t="shared" ref="H26" si="5">(E26-D26)/D26</f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6">O26*$Q$4</f>
        <v>229.92460000000003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ref="F27" si="7">C27*(E27-D27)</f>
        <v>161.69999999999959</v>
      </c>
      <c r="G27" s="39">
        <f t="shared" ref="G27" si="8">D27*C27</f>
        <v>3008.5</v>
      </c>
      <c r="H27" s="222">
        <f t="shared" ref="H27" si="9">(E27-D27)/D27</f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6"/>
        <v>227.8152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ref="F28:F32" si="10">C28*(E28-D28)</f>
        <v>101.50000000000006</v>
      </c>
      <c r="G28" s="39">
        <f t="shared" ref="G28:G32" si="11">D28*C28</f>
        <v>7673.5</v>
      </c>
      <c r="H28" s="222">
        <f t="shared" ref="H28:H32" si="12">(E28-D28)/D28</f>
        <v>1.3227340848374283E-2</v>
      </c>
      <c r="I28" s="39"/>
      <c r="J28" s="39"/>
      <c r="K28" s="39"/>
      <c r="L28" s="155"/>
      <c r="O28" s="81">
        <v>1.07</v>
      </c>
      <c r="P28" s="81">
        <f t="shared" si="6"/>
        <v>225.70580000000001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10"/>
        <v>188.16900000000004</v>
      </c>
      <c r="G29" s="39">
        <f t="shared" si="11"/>
        <v>4521.8310000000001</v>
      </c>
      <c r="H29" s="222">
        <f t="shared" si="12"/>
        <v>4.1613452603602399E-2</v>
      </c>
      <c r="I29" s="39"/>
      <c r="J29" s="39"/>
      <c r="K29" s="39"/>
      <c r="L29" s="155"/>
      <c r="O29" s="81">
        <v>1.06</v>
      </c>
      <c r="P29" s="81">
        <f t="shared" si="6"/>
        <v>223.59640000000002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10"/>
        <v>188.63000000000056</v>
      </c>
      <c r="G30" s="39">
        <f t="shared" si="11"/>
        <v>7662.37</v>
      </c>
      <c r="H30" s="222">
        <f t="shared" si="12"/>
        <v>2.461770966424234E-2</v>
      </c>
      <c r="I30" s="39"/>
      <c r="J30" s="39"/>
      <c r="K30" s="39"/>
      <c r="L30" s="155"/>
      <c r="O30" s="81">
        <v>1.05</v>
      </c>
      <c r="P30" s="81">
        <f t="shared" si="6"/>
        <v>221.48699999999999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10"/>
        <v>218.4899999999999</v>
      </c>
      <c r="G31" s="39">
        <f t="shared" si="11"/>
        <v>2991.1099999999997</v>
      </c>
      <c r="H31" s="222">
        <f t="shared" si="1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6"/>
        <v>219.3776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10"/>
        <v>721.49</v>
      </c>
      <c r="G32" s="39">
        <f t="shared" si="11"/>
        <v>2981.1099999999997</v>
      </c>
      <c r="H32" s="222">
        <f t="shared" si="1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6"/>
        <v>217.26820000000001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3">C33*(E33-D33)</f>
        <v>773.8900000000001</v>
      </c>
      <c r="G33" s="39">
        <f t="shared" ref="G33:G34" si="14">D33*C33</f>
        <v>2981.1099999999997</v>
      </c>
      <c r="H33" s="222">
        <f t="shared" ref="H33:H34" si="15">(E33-D33)/D33</f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6"/>
        <v>215.15880000000001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13"/>
        <v>864.5999999999998</v>
      </c>
      <c r="G34" s="39">
        <f t="shared" si="14"/>
        <v>2981.2</v>
      </c>
      <c r="H34" s="222">
        <f t="shared" si="15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6"/>
        <v>213.04939999999999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ref="F35:F37" si="16">C35*(E35-D35)</f>
        <v>781.2</v>
      </c>
      <c r="G35" s="39">
        <f t="shared" ref="G35:G37" si="17">D35*C35</f>
        <v>2981.2</v>
      </c>
      <c r="H35" s="222">
        <f t="shared" ref="H35:H37" si="18">(E35-D35)/D35</f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6"/>
        <v>210.94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16"/>
        <v>815.4000000000002</v>
      </c>
      <c r="G36" s="39">
        <f t="shared" si="17"/>
        <v>2971.2</v>
      </c>
      <c r="H36" s="222">
        <f t="shared" si="18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6"/>
        <v>208.8306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16"/>
        <v>688.8</v>
      </c>
      <c r="G37" s="39">
        <f t="shared" si="17"/>
        <v>6631.2</v>
      </c>
      <c r="H37" s="222">
        <f t="shared" si="18"/>
        <v>0.10387260224393774</v>
      </c>
      <c r="I37" s="39"/>
      <c r="J37" s="39"/>
      <c r="K37" s="39"/>
      <c r="L37" s="39"/>
      <c r="O37" s="81">
        <v>0.98</v>
      </c>
      <c r="P37" s="81">
        <f t="shared" si="6"/>
        <v>206.72119999999998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ref="F38" si="19">C38*(E38-D38)</f>
        <v>602.40000000000009</v>
      </c>
      <c r="G38" s="39">
        <f t="shared" ref="G38" si="20">D38*C38</f>
        <v>6631.2</v>
      </c>
      <c r="H38" s="222">
        <f t="shared" ref="H38" si="21">(E38-D38)/D38</f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6"/>
        <v>204.61179999999999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ref="F39:F43" si="22">C39*(E39-D39)</f>
        <v>857.59999999999991</v>
      </c>
      <c r="G39" s="39">
        <f t="shared" ref="G39:G43" si="23">D39*C39</f>
        <v>6631.2</v>
      </c>
      <c r="H39" s="222">
        <f t="shared" ref="H39:H43" si="24">(E39-D39)/D39</f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6"/>
        <v>202.50239999999999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22"/>
        <v>905.19999999999982</v>
      </c>
      <c r="G40" s="39">
        <f t="shared" si="23"/>
        <v>2871.2</v>
      </c>
      <c r="H40" s="222">
        <f t="shared" si="24"/>
        <v>0.31526887712454715</v>
      </c>
      <c r="I40" s="229" t="s">
        <v>997</v>
      </c>
      <c r="J40" s="39">
        <v>1048</v>
      </c>
      <c r="K40" s="39"/>
      <c r="L40" s="39">
        <v>27.52</v>
      </c>
      <c r="O40" s="81">
        <v>0.95</v>
      </c>
      <c r="P40" s="81">
        <f t="shared" si="6"/>
        <v>200.393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22"/>
        <v>1049.5999999999999</v>
      </c>
      <c r="G41" s="39">
        <f t="shared" si="23"/>
        <v>2871.2</v>
      </c>
      <c r="H41" s="222">
        <f t="shared" si="24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6"/>
        <v>198.28359999999998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22"/>
        <v>1117.9999999999995</v>
      </c>
      <c r="G42" s="39">
        <f t="shared" si="23"/>
        <v>2859.8</v>
      </c>
      <c r="H42" s="222">
        <f t="shared" si="24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6"/>
        <v>196.17420000000001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22"/>
        <v>1375.1999999999998</v>
      </c>
      <c r="G43" s="39">
        <f t="shared" si="23"/>
        <v>2859.8</v>
      </c>
      <c r="H43" s="222">
        <f t="shared" si="24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6"/>
        <v>194.06480000000002</v>
      </c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0.91</v>
      </c>
      <c r="P44" s="81">
        <f t="shared" si="6"/>
        <v>191.9554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6"/>
        <v>189.846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W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W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32" priority="24">
      <formula>F47&gt;0</formula>
    </cfRule>
    <cfRule type="expression" dxfId="1531" priority="25">
      <formula>F47&lt;0</formula>
    </cfRule>
  </conditionalFormatting>
  <conditionalFormatting sqref="Q7">
    <cfRule type="expression" dxfId="1530" priority="22">
      <formula>Q7&gt;0</formula>
    </cfRule>
    <cfRule type="expression" dxfId="1529" priority="23">
      <formula>Q7&lt;0</formula>
    </cfRule>
  </conditionalFormatting>
  <conditionalFormatting sqref="Q8">
    <cfRule type="expression" dxfId="1528" priority="20">
      <formula>Q8&gt;0</formula>
    </cfRule>
    <cfRule type="expression" dxfId="1527" priority="21">
      <formula>Q8&lt;0</formula>
    </cfRule>
  </conditionalFormatting>
  <conditionalFormatting sqref="F25:F46">
    <cfRule type="expression" dxfId="1526" priority="18">
      <formula>F25&gt;0</formula>
    </cfRule>
    <cfRule type="expression" dxfId="1525" priority="19">
      <formula>F25&lt;0</formula>
    </cfRule>
  </conditionalFormatting>
  <conditionalFormatting sqref="H25:H46">
    <cfRule type="expression" dxfId="1524" priority="16">
      <formula>H25&gt;0</formula>
    </cfRule>
    <cfRule type="expression" dxfId="1523" priority="17">
      <formula>H25&lt;0</formula>
    </cfRule>
  </conditionalFormatting>
  <conditionalFormatting sqref="F89:F110">
    <cfRule type="expression" dxfId="1522" priority="14">
      <formula>F89&gt;0</formula>
    </cfRule>
    <cfRule type="expression" dxfId="1521" priority="15">
      <formula>F89&lt;0</formula>
    </cfRule>
  </conditionalFormatting>
  <conditionalFormatting sqref="H89:H110">
    <cfRule type="expression" dxfId="1520" priority="12">
      <formula>H89&gt;0</formula>
    </cfRule>
    <cfRule type="expression" dxfId="1519" priority="13">
      <formula>H89&lt;0</formula>
    </cfRule>
  </conditionalFormatting>
  <conditionalFormatting sqref="Q10">
    <cfRule type="expression" dxfId="1518" priority="10">
      <formula>Q10&gt;0</formula>
    </cfRule>
    <cfRule type="expression" dxfId="1517" priority="11">
      <formula>Q10&lt;0</formula>
    </cfRule>
  </conditionalFormatting>
  <conditionalFormatting sqref="J25:J39">
    <cfRule type="expression" dxfId="1516" priority="8">
      <formula>J25&gt;0</formula>
    </cfRule>
    <cfRule type="expression" dxfId="1515" priority="9">
      <formula>J25&lt;0</formula>
    </cfRule>
  </conditionalFormatting>
  <conditionalFormatting sqref="K25:K38">
    <cfRule type="expression" dxfId="1514" priority="6">
      <formula>K25&gt;0</formula>
    </cfRule>
    <cfRule type="expression" dxfId="1513" priority="7">
      <formula>K25&lt;0</formula>
    </cfRule>
  </conditionalFormatting>
  <conditionalFormatting sqref="L25:L38">
    <cfRule type="expression" dxfId="1512" priority="4">
      <formula>L25&gt;0</formula>
    </cfRule>
    <cfRule type="expression" dxfId="1511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">
    <cfRule type="expression" dxfId="1510" priority="1">
      <formula>J40&gt;0</formula>
    </cfRule>
    <cfRule type="expression" dxfId="1509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456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457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208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207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53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53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592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593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506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594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494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495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4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4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276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296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294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295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297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303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322</v>
      </c>
      <c r="J235" s="39"/>
      <c r="K235" s="39"/>
    </row>
    <row r="236" spans="1:11" x14ac:dyDescent="0.25">
      <c r="A236" t="s">
        <v>332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357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357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374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378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393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400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403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408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409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410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415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415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3">
        <f t="shared" ref="H248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415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3">
        <f t="shared" ref="H249" si="34">IF(C249=0, D249, (E249-D249)/D249)</f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3">
        <f t="shared" ref="H250:H251" si="37">IF(C250=0, D250, (E250-D250)/D250)</f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3">
        <f t="shared" si="37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3">
        <f t="shared" ref="H252:H253" si="40">IF(C252=0, D252, (E252-D252)/D252)</f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3">
        <f t="shared" si="40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3">
        <f t="shared" ref="H254:H263" si="43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3">
        <f t="shared" si="43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3">
        <f t="shared" si="43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3">
        <f t="shared" si="43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3">
        <f t="shared" si="43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3">
        <f t="shared" si="43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3">
        <f t="shared" si="43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3">
        <f t="shared" si="43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3">
        <f t="shared" si="43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3">
        <f t="shared" si="43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3">
        <f t="shared" ref="H264:H266" si="46"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3">
        <f t="shared" si="46"/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3">
        <f t="shared" si="46"/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3">
        <f t="shared" ref="H267" si="49"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08" priority="74">
      <formula>F12&gt;0</formula>
    </cfRule>
    <cfRule type="expression" dxfId="1507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06" priority="67">
      <formula>F124&gt;0</formula>
    </cfRule>
    <cfRule type="expression" dxfId="1505" priority="68">
      <formula>F124&lt;0</formula>
    </cfRule>
  </conditionalFormatting>
  <conditionalFormatting sqref="H124:H130">
    <cfRule type="expression" dxfId="1504" priority="55">
      <formula>H124&gt;0</formula>
    </cfRule>
    <cfRule type="expression" dxfId="1503" priority="56">
      <formula>H124&lt;0</formula>
    </cfRule>
  </conditionalFormatting>
  <conditionalFormatting sqref="H131">
    <cfRule type="expression" dxfId="1502" priority="53">
      <formula>H131&gt;0</formula>
    </cfRule>
    <cfRule type="expression" dxfId="1501" priority="54">
      <formula>H131&lt;0</formula>
    </cfRule>
  </conditionalFormatting>
  <conditionalFormatting sqref="H132">
    <cfRule type="expression" dxfId="1500" priority="51">
      <formula>H132&gt;0</formula>
    </cfRule>
    <cfRule type="expression" dxfId="1499" priority="52">
      <formula>H132&lt;0</formula>
    </cfRule>
  </conditionalFormatting>
  <conditionalFormatting sqref="H133:H135">
    <cfRule type="expression" dxfId="1498" priority="49">
      <formula>H133&gt;0</formula>
    </cfRule>
    <cfRule type="expression" dxfId="1497" priority="50">
      <formula>H133&lt;0</formula>
    </cfRule>
  </conditionalFormatting>
  <conditionalFormatting sqref="H136">
    <cfRule type="expression" dxfId="1496" priority="45">
      <formula>H136&gt;0</formula>
    </cfRule>
    <cfRule type="expression" dxfId="1495" priority="46">
      <formula>H136&lt;0</formula>
    </cfRule>
  </conditionalFormatting>
  <conditionalFormatting sqref="Q7">
    <cfRule type="expression" dxfId="1494" priority="39">
      <formula>Q7&gt;0</formula>
    </cfRule>
    <cfRule type="expression" dxfId="1493" priority="40">
      <formula>Q7&lt;0</formula>
    </cfRule>
  </conditionalFormatting>
  <conditionalFormatting sqref="Q8">
    <cfRule type="expression" dxfId="1492" priority="37">
      <formula>Q8&gt;0</formula>
    </cfRule>
    <cfRule type="expression" dxfId="1491" priority="38">
      <formula>Q8&lt;0</formula>
    </cfRule>
  </conditionalFormatting>
  <conditionalFormatting sqref="F167:F178 H167:H178">
    <cfRule type="expression" dxfId="1490" priority="35">
      <formula>F167&gt;0</formula>
    </cfRule>
    <cfRule type="expression" dxfId="1489" priority="36">
      <formula>F167&lt;0</formula>
    </cfRule>
  </conditionalFormatting>
  <conditionalFormatting sqref="F183:F197 H183:H197">
    <cfRule type="expression" dxfId="1488" priority="33">
      <formula>F183&gt;0</formula>
    </cfRule>
    <cfRule type="expression" dxfId="1487" priority="34">
      <formula>F183&lt;0</formula>
    </cfRule>
  </conditionalFormatting>
  <conditionalFormatting sqref="F198:F206 H198:H206">
    <cfRule type="expression" dxfId="1486" priority="31">
      <formula>F198&gt;0</formula>
    </cfRule>
    <cfRule type="expression" dxfId="1485" priority="32">
      <formula>F198&lt;0</formula>
    </cfRule>
  </conditionalFormatting>
  <conditionalFormatting sqref="F141:F147 H141:H147">
    <cfRule type="expression" dxfId="1484" priority="29">
      <formula>F141&gt;0</formula>
    </cfRule>
    <cfRule type="expression" dxfId="1483" priority="30">
      <formula>F141&lt;0</formula>
    </cfRule>
  </conditionalFormatting>
  <conditionalFormatting sqref="H149:H152 F149:F152">
    <cfRule type="expression" dxfId="1482" priority="27">
      <formula>F149&gt;0</formula>
    </cfRule>
    <cfRule type="expression" dxfId="1481" priority="28">
      <formula>F149&lt;0</formula>
    </cfRule>
  </conditionalFormatting>
  <conditionalFormatting sqref="F226 H215:H218 H257:H260 F257:F260 H226 H231:H233 F231:F233 F235:F244 H235:H244">
    <cfRule type="expression" dxfId="1480" priority="25">
      <formula>F215&gt;0</formula>
    </cfRule>
    <cfRule type="expression" dxfId="1479" priority="26">
      <formula>F215&lt;0</formula>
    </cfRule>
  </conditionalFormatting>
  <conditionalFormatting sqref="F207:F218">
    <cfRule type="expression" dxfId="1478" priority="23">
      <formula>F207&gt;0</formula>
    </cfRule>
    <cfRule type="expression" dxfId="1477" priority="24">
      <formula>F207&lt;0</formula>
    </cfRule>
  </conditionalFormatting>
  <conditionalFormatting sqref="H207:H208">
    <cfRule type="expression" dxfId="1476" priority="21">
      <formula>H207&gt;0</formula>
    </cfRule>
    <cfRule type="expression" dxfId="1475" priority="22">
      <formula>H207&lt;0</formula>
    </cfRule>
  </conditionalFormatting>
  <conditionalFormatting sqref="H209">
    <cfRule type="expression" dxfId="1474" priority="19">
      <formula>H209&gt;0</formula>
    </cfRule>
    <cfRule type="expression" dxfId="1473" priority="20">
      <formula>H209&lt;0</formula>
    </cfRule>
  </conditionalFormatting>
  <conditionalFormatting sqref="H210">
    <cfRule type="expression" dxfId="1472" priority="17">
      <formula>H210&gt;0</formula>
    </cfRule>
    <cfRule type="expression" dxfId="1471" priority="18">
      <formula>H210&lt;0</formula>
    </cfRule>
  </conditionalFormatting>
  <conditionalFormatting sqref="H211:H213">
    <cfRule type="expression" dxfId="1470" priority="15">
      <formula>H211&gt;0</formula>
    </cfRule>
    <cfRule type="expression" dxfId="1469" priority="16">
      <formula>H211&lt;0</formula>
    </cfRule>
  </conditionalFormatting>
  <conditionalFormatting sqref="H214">
    <cfRule type="expression" dxfId="1468" priority="13">
      <formula>H214&gt;0</formula>
    </cfRule>
    <cfRule type="expression" dxfId="1467" priority="14">
      <formula>H214&lt;0</formula>
    </cfRule>
  </conditionalFormatting>
  <conditionalFormatting sqref="F245:F256 H245:H256">
    <cfRule type="expression" dxfId="1466" priority="11">
      <formula>F245&gt;0</formula>
    </cfRule>
    <cfRule type="expression" dxfId="1465" priority="12">
      <formula>F245&lt;0</formula>
    </cfRule>
  </conditionalFormatting>
  <conditionalFormatting sqref="F261:F275 H261:H275">
    <cfRule type="expression" dxfId="1464" priority="9">
      <formula>F261&gt;0</formula>
    </cfRule>
    <cfRule type="expression" dxfId="1463" priority="10">
      <formula>F261&lt;0</formula>
    </cfRule>
  </conditionalFormatting>
  <conditionalFormatting sqref="F276:F283 H276:H283">
    <cfRule type="expression" dxfId="1462" priority="7">
      <formula>F276&gt;0</formula>
    </cfRule>
    <cfRule type="expression" dxfId="1461" priority="8">
      <formula>F276&lt;0</formula>
    </cfRule>
  </conditionalFormatting>
  <conditionalFormatting sqref="F219:F225 H219:H225">
    <cfRule type="expression" dxfId="1460" priority="5">
      <formula>F219&gt;0</formula>
    </cfRule>
    <cfRule type="expression" dxfId="1459" priority="6">
      <formula>F219&lt;0</formula>
    </cfRule>
  </conditionalFormatting>
  <conditionalFormatting sqref="H227:H230 F227:F230">
    <cfRule type="expression" dxfId="1458" priority="3">
      <formula>F227&gt;0</formula>
    </cfRule>
    <cfRule type="expression" dxfId="1457" priority="4">
      <formula>F227&lt;0</formula>
    </cfRule>
  </conditionalFormatting>
  <conditionalFormatting sqref="H234 F234">
    <cfRule type="expression" dxfId="1456" priority="1">
      <formula>F234&gt;0</formula>
    </cfRule>
    <cfRule type="expression" dxfId="1455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307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146.99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146.99</v>
      </c>
      <c r="R4" s="475">
        <v>-3.3999999999999998E-3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207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51" t="s">
        <v>78</v>
      </c>
      <c r="P40" s="851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161.68900000000002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160.21910000000003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158.74920000000003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157.27930000000001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155.80940000000001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154.33950000000002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152.86960000000002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151.39970000000002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149.9298</v>
      </c>
      <c r="Q49" s="2"/>
      <c r="T49" s="91" t="s">
        <v>121</v>
      </c>
      <c r="U49" s="127" t="s">
        <v>386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148.4599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146.99</v>
      </c>
      <c r="Q51" s="2"/>
      <c r="T51" s="91" t="s">
        <v>104</v>
      </c>
      <c r="U51" s="127" t="s">
        <v>595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145.52010000000001</v>
      </c>
      <c r="Q52" s="2"/>
      <c r="T52" s="91" t="s">
        <v>105</v>
      </c>
      <c r="U52" s="127" t="s">
        <v>417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144.05020000000002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142.58029999999999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141.1104</v>
      </c>
      <c r="T55" s="91" t="s">
        <v>107</v>
      </c>
      <c r="U55" s="127" t="s">
        <v>596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139.6405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138.17060000000001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136.70070000000001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135.23080000000002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133.76090000000002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132.29100000000003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307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 t="shared" ref="K75:K76" si="3"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 t="shared" si="3"/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349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349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2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2">
        <f t="shared" si="6"/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54" priority="43">
      <formula>F33&gt;0</formula>
    </cfRule>
    <cfRule type="expression" dxfId="1453" priority="44">
      <formula>F33&lt;0</formula>
    </cfRule>
  </conditionalFormatting>
  <conditionalFormatting sqref="Q7">
    <cfRule type="expression" dxfId="1452" priority="41">
      <formula>Q7&gt;0</formula>
    </cfRule>
    <cfRule type="expression" dxfId="1451" priority="42">
      <formula>Q7&lt;0</formula>
    </cfRule>
  </conditionalFormatting>
  <conditionalFormatting sqref="Q8">
    <cfRule type="expression" dxfId="1450" priority="39">
      <formula>Q8&gt;0</formula>
    </cfRule>
    <cfRule type="expression" dxfId="1449" priority="40">
      <formula>Q8&lt;0</formula>
    </cfRule>
  </conditionalFormatting>
  <conditionalFormatting sqref="F29 F32">
    <cfRule type="expression" dxfId="1448" priority="37">
      <formula>F29&gt;0</formula>
    </cfRule>
    <cfRule type="expression" dxfId="1447" priority="38">
      <formula>F29&lt;0</formula>
    </cfRule>
  </conditionalFormatting>
  <conditionalFormatting sqref="H29 H32">
    <cfRule type="expression" dxfId="1446" priority="35">
      <formula>H29&gt;0</formula>
    </cfRule>
    <cfRule type="expression" dxfId="1445" priority="36">
      <formula>H29&lt;0</formula>
    </cfRule>
  </conditionalFormatting>
  <conditionalFormatting sqref="F30:F31">
    <cfRule type="expression" dxfId="1444" priority="33">
      <formula>F30&gt;0</formula>
    </cfRule>
    <cfRule type="expression" dxfId="1443" priority="34">
      <formula>F30&lt;0</formula>
    </cfRule>
  </conditionalFormatting>
  <conditionalFormatting sqref="H30:H31">
    <cfRule type="expression" dxfId="1442" priority="31">
      <formula>H30&gt;0</formula>
    </cfRule>
    <cfRule type="expression" dxfId="1441" priority="32">
      <formula>H30&lt;0</formula>
    </cfRule>
  </conditionalFormatting>
  <conditionalFormatting sqref="F105:F140 H105:H140">
    <cfRule type="expression" dxfId="1440" priority="29">
      <formula>F105&gt;0</formula>
    </cfRule>
    <cfRule type="expression" dxfId="1439" priority="30">
      <formula>F105&lt;0</formula>
    </cfRule>
  </conditionalFormatting>
  <conditionalFormatting sqref="F96:F99">
    <cfRule type="expression" dxfId="1438" priority="27">
      <formula>F96&gt;0</formula>
    </cfRule>
    <cfRule type="expression" dxfId="1437" priority="28">
      <formula>F96&lt;0</formula>
    </cfRule>
  </conditionalFormatting>
  <conditionalFormatting sqref="H96:H99">
    <cfRule type="expression" dxfId="1436" priority="25">
      <formula>H96&gt;0</formula>
    </cfRule>
    <cfRule type="expression" dxfId="1435" priority="26">
      <formula>H96&lt;0</formula>
    </cfRule>
  </conditionalFormatting>
  <conditionalFormatting sqref="F25:F28">
    <cfRule type="expression" dxfId="1434" priority="19">
      <formula>F25&gt;0</formula>
    </cfRule>
    <cfRule type="expression" dxfId="1433" priority="20">
      <formula>F25&lt;0</formula>
    </cfRule>
  </conditionalFormatting>
  <conditionalFormatting sqref="H25:H28">
    <cfRule type="expression" dxfId="1432" priority="17">
      <formula>H25&gt;0</formula>
    </cfRule>
    <cfRule type="expression" dxfId="1431" priority="18">
      <formula>H25&lt;0</formula>
    </cfRule>
  </conditionalFormatting>
  <conditionalFormatting sqref="J27">
    <cfRule type="expression" dxfId="1430" priority="15">
      <formula>J27&gt;0</formula>
    </cfRule>
    <cfRule type="expression" dxfId="1429" priority="16">
      <formula>J27&lt;0</formula>
    </cfRule>
  </conditionalFormatting>
  <conditionalFormatting sqref="F104">
    <cfRule type="expression" dxfId="1428" priority="13">
      <formula>F104&gt;0</formula>
    </cfRule>
    <cfRule type="expression" dxfId="1427" priority="14">
      <formula>F104&lt;0</formula>
    </cfRule>
  </conditionalFormatting>
  <conditionalFormatting sqref="H104">
    <cfRule type="expression" dxfId="1426" priority="11">
      <formula>H104&gt;0</formula>
    </cfRule>
    <cfRule type="expression" dxfId="1425" priority="12">
      <formula>H104&lt;0</formula>
    </cfRule>
  </conditionalFormatting>
  <conditionalFormatting sqref="F100:F103">
    <cfRule type="expression" dxfId="1424" priority="9">
      <formula>F100&gt;0</formula>
    </cfRule>
    <cfRule type="expression" dxfId="1423" priority="10">
      <formula>F100&lt;0</formula>
    </cfRule>
  </conditionalFormatting>
  <conditionalFormatting sqref="H100:H103">
    <cfRule type="expression" dxfId="1422" priority="7">
      <formula>H100&gt;0</formula>
    </cfRule>
    <cfRule type="expression" dxfId="1421" priority="8">
      <formula>H100&lt;0</formula>
    </cfRule>
  </conditionalFormatting>
  <conditionalFormatting sqref="J102">
    <cfRule type="expression" dxfId="1420" priority="5">
      <formula>J102&gt;0</formula>
    </cfRule>
    <cfRule type="expression" dxfId="1419" priority="6">
      <formula>J102&lt;0</formula>
    </cfRule>
  </conditionalFormatting>
  <conditionalFormatting sqref="Q10">
    <cfRule type="expression" dxfId="1418" priority="3">
      <formula>Q10&gt;0</formula>
    </cfRule>
    <cfRule type="expression" dxfId="1417" priority="4">
      <formula>Q10&lt;0</formula>
    </cfRule>
  </conditionalFormatting>
  <conditionalFormatting sqref="M71">
    <cfRule type="expression" dxfId="1416" priority="1">
      <formula>M71&gt;0</formula>
    </cfRule>
    <cfRule type="expression" dxfId="1415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95.7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95.7</v>
      </c>
      <c r="R4" s="475">
        <v>1.9E-3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208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207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1" t="s">
        <v>78</v>
      </c>
      <c r="P40" s="851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105.27000000000001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104.31300000000002</v>
      </c>
      <c r="Q42" s="2"/>
      <c r="T42" s="89"/>
    </row>
    <row r="43" spans="1:21" ht="15.75" thickTop="1" x14ac:dyDescent="0.25">
      <c r="O43" s="81">
        <v>1.08</v>
      </c>
      <c r="P43" s="81">
        <f t="shared" si="0"/>
        <v>103.35600000000001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102.39900000000002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101.44200000000001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100.48500000000001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99.528000000000006</v>
      </c>
      <c r="Q47" s="2"/>
      <c r="T47" s="91"/>
      <c r="U47" s="127"/>
    </row>
    <row r="48" spans="1:21" x14ac:dyDescent="0.25">
      <c r="A48" s="254" t="s">
        <v>691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98.571000000000012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97.614000000000004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96.657000000000011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95.7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94.742999999999995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93.786000000000001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92.828999999999994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91.872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90.914999999999992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89.957999999999998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89.001000000000005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88.044000000000011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87.087000000000003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86.13000000000001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14" priority="33">
      <formula>F34&gt;0</formula>
    </cfRule>
    <cfRule type="expression" dxfId="1413" priority="34">
      <formula>F34&lt;0</formula>
    </cfRule>
  </conditionalFormatting>
  <conditionalFormatting sqref="Q7">
    <cfRule type="expression" dxfId="1412" priority="31">
      <formula>Q7&gt;0</formula>
    </cfRule>
    <cfRule type="expression" dxfId="1411" priority="32">
      <formula>Q7&lt;0</formula>
    </cfRule>
  </conditionalFormatting>
  <conditionalFormatting sqref="Q8">
    <cfRule type="expression" dxfId="1410" priority="29">
      <formula>Q8&gt;0</formula>
    </cfRule>
    <cfRule type="expression" dxfId="1409" priority="30">
      <formula>Q8&lt;0</formula>
    </cfRule>
  </conditionalFormatting>
  <conditionalFormatting sqref="F27:F33">
    <cfRule type="expression" dxfId="1408" priority="27">
      <formula>F27&gt;0</formula>
    </cfRule>
    <cfRule type="expression" dxfId="1407" priority="28">
      <formula>F27&lt;0</formula>
    </cfRule>
  </conditionalFormatting>
  <conditionalFormatting sqref="H27:H33">
    <cfRule type="expression" dxfId="1406" priority="25">
      <formula>H27&gt;0</formula>
    </cfRule>
    <cfRule type="expression" dxfId="1405" priority="26">
      <formula>H27&lt;0</formula>
    </cfRule>
  </conditionalFormatting>
  <conditionalFormatting sqref="M46">
    <cfRule type="expression" dxfId="1404" priority="23">
      <formula>M46&gt;0</formula>
    </cfRule>
    <cfRule type="expression" dxfId="1403" priority="24">
      <formula>M46&lt;0</formula>
    </cfRule>
  </conditionalFormatting>
  <conditionalFormatting sqref="F79:F87 H79:H87">
    <cfRule type="expression" dxfId="1402" priority="21">
      <formula>F79&gt;0</formula>
    </cfRule>
    <cfRule type="expression" dxfId="1401" priority="22">
      <formula>F79&lt;0</formula>
    </cfRule>
  </conditionalFormatting>
  <conditionalFormatting sqref="F73 F77:F78">
    <cfRule type="expression" dxfId="1400" priority="19">
      <formula>F73&gt;0</formula>
    </cfRule>
    <cfRule type="expression" dxfId="1399" priority="20">
      <formula>F73&lt;0</formula>
    </cfRule>
  </conditionalFormatting>
  <conditionalFormatting sqref="H73 H77:H78">
    <cfRule type="expression" dxfId="1398" priority="17">
      <formula>H73&gt;0</formula>
    </cfRule>
    <cfRule type="expression" dxfId="1397" priority="18">
      <formula>H73&lt;0</formula>
    </cfRule>
  </conditionalFormatting>
  <conditionalFormatting sqref="F70:F72">
    <cfRule type="expression" dxfId="1396" priority="15">
      <formula>F70&gt;0</formula>
    </cfRule>
    <cfRule type="expression" dxfId="1395" priority="16">
      <formula>F70&lt;0</formula>
    </cfRule>
  </conditionalFormatting>
  <conditionalFormatting sqref="H70:H72">
    <cfRule type="expression" dxfId="1394" priority="13">
      <formula>H70&gt;0</formula>
    </cfRule>
    <cfRule type="expression" dxfId="1393" priority="14">
      <formula>H70&lt;0</formula>
    </cfRule>
  </conditionalFormatting>
  <conditionalFormatting sqref="F25:F26">
    <cfRule type="expression" dxfId="1392" priority="11">
      <formula>F25&gt;0</formula>
    </cfRule>
    <cfRule type="expression" dxfId="1391" priority="12">
      <formula>F25&lt;0</formula>
    </cfRule>
  </conditionalFormatting>
  <conditionalFormatting sqref="H25:H26">
    <cfRule type="expression" dxfId="1390" priority="9">
      <formula>H25&gt;0</formula>
    </cfRule>
    <cfRule type="expression" dxfId="1389" priority="10">
      <formula>H25&lt;0</formula>
    </cfRule>
  </conditionalFormatting>
  <conditionalFormatting sqref="F76">
    <cfRule type="expression" dxfId="1388" priority="7">
      <formula>F76&gt;0</formula>
    </cfRule>
    <cfRule type="expression" dxfId="1387" priority="8">
      <formula>F76&lt;0</formula>
    </cfRule>
  </conditionalFormatting>
  <conditionalFormatting sqref="H76">
    <cfRule type="expression" dxfId="1386" priority="5">
      <formula>H76&gt;0</formula>
    </cfRule>
    <cfRule type="expression" dxfId="1385" priority="6">
      <formula>H76&lt;0</formula>
    </cfRule>
  </conditionalFormatting>
  <conditionalFormatting sqref="F74:F75">
    <cfRule type="expression" dxfId="1384" priority="3">
      <formula>F74&gt;0</formula>
    </cfRule>
    <cfRule type="expression" dxfId="1383" priority="4">
      <formula>F74&lt;0</formula>
    </cfRule>
  </conditionalFormatting>
  <conditionalFormatting sqref="H74:H75">
    <cfRule type="expression" dxfId="1382" priority="1">
      <formula>H74&gt;0</formula>
    </cfRule>
    <cfRule type="expression" dxfId="1381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960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8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7" si="1">H2*I2-J2</f>
        <v>4127.03</v>
      </c>
      <c r="L2" s="72"/>
      <c r="M2" s="3"/>
      <c r="O2" s="11" t="s">
        <v>57</v>
      </c>
      <c r="Q2">
        <f>C18-H18</f>
        <v>15</v>
      </c>
      <c r="T2" s="1"/>
    </row>
    <row r="3" spans="1:21" x14ac:dyDescent="0.25">
      <c r="A3" s="22" t="s">
        <v>71</v>
      </c>
      <c r="B3" s="434" t="s">
        <v>996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112.24000000000039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177.19</v>
      </c>
      <c r="R4" s="495">
        <v>8.9999999999999993E-3</v>
      </c>
      <c r="T4" s="770">
        <v>43256</v>
      </c>
      <c r="U4" s="839" t="s">
        <v>1119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2657.85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1683.6000000000058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974.24999999999409</v>
      </c>
      <c r="R7" s="29">
        <v>43307</v>
      </c>
    </row>
    <row r="8" spans="1:21" x14ac:dyDescent="0.25">
      <c r="B8" s="735">
        <v>43276</v>
      </c>
      <c r="C8" s="4">
        <v>15</v>
      </c>
      <c r="D8" s="3">
        <v>171.05</v>
      </c>
      <c r="E8" s="3">
        <v>0</v>
      </c>
      <c r="F8" s="3">
        <f t="shared" si="0"/>
        <v>2565.75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974.24999999999409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0.5786707056307856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7.2238839663637906E-3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973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155</v>
      </c>
      <c r="D18" s="18"/>
      <c r="E18" s="18"/>
      <c r="F18" s="18">
        <f>SUM(F2:F8)</f>
        <v>25214.5</v>
      </c>
      <c r="G18" s="14"/>
      <c r="H18" s="71">
        <f>SUM(H2:H7)</f>
        <v>140</v>
      </c>
      <c r="I18" s="18"/>
      <c r="J18" s="18"/>
      <c r="K18" s="18">
        <f>SUM(K2:K7)</f>
        <v>23530.899999999994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140</v>
      </c>
      <c r="D19" s="343"/>
      <c r="E19" s="343"/>
      <c r="F19" s="344">
        <f>SumByColor($A$19,F2:F17)</f>
        <v>22648</v>
      </c>
      <c r="G19" s="343"/>
      <c r="H19" s="343">
        <f>SumByColor($A$19,H2:H17)</f>
        <v>140</v>
      </c>
      <c r="I19" s="343"/>
      <c r="J19" s="343"/>
      <c r="K19" s="344">
        <f>SumByColor($A$19,K2:K17)</f>
        <v>23531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194.90900000000002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193.1371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" si="3">C25*(E25-D25)</f>
        <v>4.7499999999999432</v>
      </c>
      <c r="G25" s="39">
        <f t="shared" ref="G25" si="4">D25*C25</f>
        <v>4152.75</v>
      </c>
      <c r="H25" s="222">
        <f t="shared" ref="H25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191.36520000000002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6">C26*(E26-D26)</f>
        <v>-65.749999999999886</v>
      </c>
      <c r="G26" s="39">
        <f t="shared" ref="G26" si="7">D26*C26</f>
        <v>8239.75</v>
      </c>
      <c r="H26" s="222">
        <f t="shared" ref="H26" si="8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2"/>
        <v>189.5933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ref="F27" si="9">C27*(E27-D27)</f>
        <v>14.529999999999887</v>
      </c>
      <c r="G27" s="39">
        <f t="shared" ref="G27" si="10">D27*C27</f>
        <v>4112.72</v>
      </c>
      <c r="H27" s="222">
        <f t="shared" ref="H27" si="11">(E27-D27)/D27</f>
        <v>3.5329417028146545E-3</v>
      </c>
      <c r="I27" s="39"/>
      <c r="J27" s="39"/>
      <c r="K27" s="39"/>
      <c r="L27" s="155"/>
      <c r="O27" s="81">
        <v>1.06</v>
      </c>
      <c r="P27" s="81">
        <f t="shared" si="2"/>
        <v>187.82140000000001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2">C28*(E28-D28)</f>
        <v>-47.220000000000084</v>
      </c>
      <c r="G28" s="39">
        <f t="shared" ref="G28" si="13">D28*C28</f>
        <v>8187.22</v>
      </c>
      <c r="H28" s="222">
        <f t="shared" ref="H28" si="14">(E28-D28)/D28</f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186.04949999999999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ref="F29" si="15">C29*(E29-D29)</f>
        <v>32.779999999999632</v>
      </c>
      <c r="G29" s="39">
        <f t="shared" ref="G29" si="16">D29*C29</f>
        <v>8187.22</v>
      </c>
      <c r="H29" s="222">
        <f t="shared" ref="H29" si="17">(E29-D29)/D29</f>
        <v>4.0038010460204596E-3</v>
      </c>
      <c r="I29" s="39"/>
      <c r="J29" s="39"/>
      <c r="K29" s="39"/>
      <c r="L29" s="155"/>
      <c r="O29" s="81">
        <v>1.04</v>
      </c>
      <c r="P29" s="81">
        <f t="shared" si="2"/>
        <v>184.27760000000001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8">C30*(E30-D30)</f>
        <v>-233.22000000000003</v>
      </c>
      <c r="G30" s="39">
        <f t="shared" ref="G30:G31" si="19">D30*C30</f>
        <v>8187.22</v>
      </c>
      <c r="H30" s="222">
        <f t="shared" ref="H30:H31" si="20">(E30-D30)/D30</f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182.50569999999999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18"/>
        <v>-362.21999999999991</v>
      </c>
      <c r="G31" s="39">
        <f t="shared" si="19"/>
        <v>12099.72</v>
      </c>
      <c r="H31" s="222">
        <f t="shared" si="20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180.7338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ref="F32" si="21">C32*(E32-D32)</f>
        <v>-14.309999999998979</v>
      </c>
      <c r="G32" s="39">
        <f t="shared" ref="G32" si="22">D32*C32</f>
        <v>8074.8099999999995</v>
      </c>
      <c r="H32" s="222">
        <f t="shared" ref="H32" si="23">(E32-D32)/D32</f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178.96189999999999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1" si="24">C33*(E33-D33)</f>
        <v>35.699999999999932</v>
      </c>
      <c r="G33" s="39">
        <f t="shared" ref="G33:G41" si="25">D33*C33</f>
        <v>8074.8</v>
      </c>
      <c r="H33" s="222">
        <f t="shared" ref="H33:H41" si="26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177.19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24"/>
        <v>-142.3110000000004</v>
      </c>
      <c r="G34" s="39">
        <f t="shared" si="25"/>
        <v>10444.811</v>
      </c>
      <c r="H34" s="222">
        <f t="shared" si="26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175.41810000000001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24"/>
        <v>137.54000000000019</v>
      </c>
      <c r="G35" s="39">
        <f t="shared" si="25"/>
        <v>6342.06</v>
      </c>
      <c r="H35" s="222">
        <f t="shared" si="26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173.64619999999999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24"/>
        <v>141.05000000000103</v>
      </c>
      <c r="G36" s="39">
        <f t="shared" si="25"/>
        <v>10394.15</v>
      </c>
      <c r="H36" s="222">
        <f t="shared" si="26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171.87430000000001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24"/>
        <v>589.5499999999995</v>
      </c>
      <c r="G37" s="39">
        <f t="shared" si="25"/>
        <v>10394.15</v>
      </c>
      <c r="H37" s="222">
        <f t="shared" si="26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170.10239999999999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24"/>
        <v>809.88800000000083</v>
      </c>
      <c r="G38" s="39">
        <f t="shared" si="25"/>
        <v>6099.7119999999995</v>
      </c>
      <c r="H38" s="222">
        <f t="shared" si="26"/>
        <v>0.13277479330171668</v>
      </c>
      <c r="I38" s="39"/>
      <c r="J38" s="39"/>
      <c r="K38" s="39"/>
      <c r="L38" s="39"/>
      <c r="O38" s="81">
        <v>0.95</v>
      </c>
      <c r="P38" s="81">
        <f t="shared" si="2"/>
        <v>168.3305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24"/>
        <v>994.46000000000015</v>
      </c>
      <c r="G39" s="39">
        <f t="shared" si="25"/>
        <v>3436.79</v>
      </c>
      <c r="H39" s="222">
        <f t="shared" si="26"/>
        <v>0.28935721996397806</v>
      </c>
      <c r="I39" s="39"/>
      <c r="J39" s="39"/>
      <c r="K39" s="39"/>
      <c r="L39" s="39"/>
      <c r="O39" s="81">
        <v>0.94</v>
      </c>
      <c r="P39" s="81">
        <f t="shared" si="2"/>
        <v>166.55859999999998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24"/>
        <v>852.40000000000009</v>
      </c>
      <c r="G40" s="39">
        <f t="shared" si="25"/>
        <v>6002.4</v>
      </c>
      <c r="H40" s="222">
        <f t="shared" si="26"/>
        <v>0.14200986272157806</v>
      </c>
      <c r="I40" s="39"/>
      <c r="J40" s="39"/>
      <c r="K40" s="39"/>
      <c r="L40" s="39"/>
      <c r="O40" s="81">
        <v>0.93</v>
      </c>
      <c r="P40" s="81">
        <f t="shared" si="2"/>
        <v>164.7867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24"/>
        <v>910.19999999999993</v>
      </c>
      <c r="G41" s="39">
        <f t="shared" si="25"/>
        <v>1683.6</v>
      </c>
      <c r="H41" s="222">
        <f t="shared" si="26"/>
        <v>0.54062722736992153</v>
      </c>
      <c r="I41" s="39"/>
      <c r="J41" s="39"/>
      <c r="K41" s="39"/>
      <c r="L41" s="39"/>
      <c r="O41" s="81">
        <v>0.92</v>
      </c>
      <c r="P41" s="81">
        <f t="shared" si="2"/>
        <v>163.01480000000001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161.24289999999999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159.471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80" priority="37">
      <formula>F47&gt;0</formula>
    </cfRule>
    <cfRule type="expression" dxfId="1379" priority="38">
      <formula>F47&lt;0</formula>
    </cfRule>
  </conditionalFormatting>
  <conditionalFormatting sqref="Q7">
    <cfRule type="expression" dxfId="1378" priority="35">
      <formula>Q7&gt;0</formula>
    </cfRule>
    <cfRule type="expression" dxfId="1377" priority="36">
      <formula>Q7&lt;0</formula>
    </cfRule>
  </conditionalFormatting>
  <conditionalFormatting sqref="Q8">
    <cfRule type="expression" dxfId="1376" priority="33">
      <formula>Q8&gt;0</formula>
    </cfRule>
    <cfRule type="expression" dxfId="1375" priority="34">
      <formula>Q8&lt;0</formula>
    </cfRule>
  </conditionalFormatting>
  <conditionalFormatting sqref="F31:F46">
    <cfRule type="expression" dxfId="1374" priority="31">
      <formula>F31&gt;0</formula>
    </cfRule>
    <cfRule type="expression" dxfId="1373" priority="32">
      <formula>F31&lt;0</formula>
    </cfRule>
  </conditionalFormatting>
  <conditionalFormatting sqref="H31:H46">
    <cfRule type="expression" dxfId="1372" priority="29">
      <formula>H31&gt;0</formula>
    </cfRule>
    <cfRule type="expression" dxfId="1371" priority="30">
      <formula>H31&lt;0</formula>
    </cfRule>
  </conditionalFormatting>
  <conditionalFormatting sqref="Q10">
    <cfRule type="expression" dxfId="1370" priority="27">
      <formula>Q10&gt;0</formula>
    </cfRule>
    <cfRule type="expression" dxfId="1369" priority="28">
      <formula>Q10&lt;0</formula>
    </cfRule>
  </conditionalFormatting>
  <conditionalFormatting sqref="J25:J38">
    <cfRule type="expression" dxfId="1368" priority="25">
      <formula>J25&gt;0</formula>
    </cfRule>
    <cfRule type="expression" dxfId="1367" priority="26">
      <formula>J25&lt;0</formula>
    </cfRule>
  </conditionalFormatting>
  <conditionalFormatting sqref="K25:K38">
    <cfRule type="expression" dxfId="1366" priority="23">
      <formula>K25&gt;0</formula>
    </cfRule>
    <cfRule type="expression" dxfId="1365" priority="24">
      <formula>K25&lt;0</formula>
    </cfRule>
  </conditionalFormatting>
  <conditionalFormatting sqref="L25:L38">
    <cfRule type="expression" dxfId="1364" priority="21">
      <formula>L25&gt;0</formula>
    </cfRule>
    <cfRule type="expression" dxfId="1363" priority="22">
      <formula>L25&lt;0</formula>
    </cfRule>
  </conditionalFormatting>
  <conditionalFormatting sqref="F89:F110">
    <cfRule type="expression" dxfId="1362" priority="19">
      <formula>F89&gt;0</formula>
    </cfRule>
    <cfRule type="expression" dxfId="1361" priority="20">
      <formula>F89&lt;0</formula>
    </cfRule>
  </conditionalFormatting>
  <conditionalFormatting sqref="H89:H110">
    <cfRule type="expression" dxfId="1360" priority="17">
      <formula>H89&gt;0</formula>
    </cfRule>
    <cfRule type="expression" dxfId="1359" priority="18">
      <formula>H89&lt;0</formula>
    </cfRule>
  </conditionalFormatting>
  <conditionalFormatting sqref="J89:J102">
    <cfRule type="expression" dxfId="1358" priority="15">
      <formula>J89&gt;0</formula>
    </cfRule>
    <cfRule type="expression" dxfId="1357" priority="16">
      <formula>J89&lt;0</formula>
    </cfRule>
  </conditionalFormatting>
  <conditionalFormatting sqref="K89:K102">
    <cfRule type="expression" dxfId="1356" priority="13">
      <formula>K89&gt;0</formula>
    </cfRule>
    <cfRule type="expression" dxfId="1355" priority="14">
      <formula>K89&lt;0</formula>
    </cfRule>
  </conditionalFormatting>
  <conditionalFormatting sqref="L89:L102">
    <cfRule type="expression" dxfId="1354" priority="11">
      <formula>L89&gt;0</formula>
    </cfRule>
    <cfRule type="expression" dxfId="1353" priority="12">
      <formula>L89&lt;0</formula>
    </cfRule>
  </conditionalFormatting>
  <conditionalFormatting sqref="F25:F28">
    <cfRule type="expression" dxfId="1352" priority="9">
      <formula>F25&gt;0</formula>
    </cfRule>
    <cfRule type="expression" dxfId="1351" priority="10">
      <formula>F25&lt;0</formula>
    </cfRule>
  </conditionalFormatting>
  <conditionalFormatting sqref="H25:H28">
    <cfRule type="expression" dxfId="1350" priority="7">
      <formula>H25&gt;0</formula>
    </cfRule>
    <cfRule type="expression" dxfId="1349" priority="8">
      <formula>H25&lt;0</formula>
    </cfRule>
  </conditionalFormatting>
  <conditionalFormatting sqref="F29:F30">
    <cfRule type="expression" dxfId="1348" priority="3">
      <formula>F29&gt;0</formula>
    </cfRule>
    <cfRule type="expression" dxfId="1347" priority="4">
      <formula>F29&lt;0</formula>
    </cfRule>
  </conditionalFormatting>
  <conditionalFormatting sqref="H29:H30">
    <cfRule type="expression" dxfId="1346" priority="1">
      <formula>H29&gt;0</formula>
    </cfRule>
    <cfRule type="expression" dxfId="1345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2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735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0" si="1">H2*I2-J2</f>
        <v>6747.84</v>
      </c>
      <c r="L2" s="72">
        <v>43082</v>
      </c>
      <c r="M2" s="43">
        <v>80</v>
      </c>
      <c r="O2" s="11" t="s">
        <v>57</v>
      </c>
      <c r="Q2">
        <f>C18-H18</f>
        <v>200</v>
      </c>
      <c r="U2" t="s">
        <v>1021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(F18-K18-M18)/Q2)</f>
        <v>62.082000000000043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63.73</v>
      </c>
      <c r="R4" s="495">
        <v>6.7999999999999996E-3</v>
      </c>
      <c r="T4" s="1">
        <v>43114</v>
      </c>
      <c r="U4" t="s">
        <v>886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12746</v>
      </c>
      <c r="T5" s="1"/>
      <c r="U5" t="s">
        <v>1165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12416.400000000009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329.59999999999127</v>
      </c>
      <c r="R7" s="29">
        <v>43311</v>
      </c>
      <c r="T7" s="1">
        <v>43187</v>
      </c>
      <c r="U7" t="s">
        <v>977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K18+M18-F18+Q2*Q4</f>
        <v>329.59999999999127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208</v>
      </c>
      <c r="Q9" s="134">
        <f>IF(Q2=0, 0, Q8/Q6)</f>
        <v>2.6545536548435219E-2</v>
      </c>
      <c r="T9" s="1">
        <v>43212</v>
      </c>
      <c r="U9" t="s">
        <v>1022</v>
      </c>
      <c r="V9" s="134"/>
    </row>
    <row r="10" spans="1:22" x14ac:dyDescent="0.25">
      <c r="A10" t="s">
        <v>782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207</v>
      </c>
      <c r="P10" s="33"/>
      <c r="Q10" s="2">
        <f>M82</f>
        <v>0</v>
      </c>
      <c r="U10" t="s">
        <v>1023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2.510591558135886E-2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946</v>
      </c>
      <c r="Q12" s="1" t="s">
        <v>1166</v>
      </c>
      <c r="T12" s="1">
        <v>43237</v>
      </c>
      <c r="U12" t="s">
        <v>1088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973</v>
      </c>
      <c r="Q13" s="2">
        <f>Q4/(5.9+6.05)*2</f>
        <v>10.666108786610879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1111</v>
      </c>
      <c r="T14" s="1">
        <v>43242</v>
      </c>
      <c r="U14" t="s">
        <v>1074</v>
      </c>
      <c r="V14" s="134"/>
    </row>
    <row r="15" spans="1:22" x14ac:dyDescent="0.25">
      <c r="B15" s="474">
        <v>43279</v>
      </c>
      <c r="C15" s="4">
        <v>200</v>
      </c>
      <c r="D15" s="2">
        <v>59.56</v>
      </c>
      <c r="E15" s="2">
        <v>0</v>
      </c>
      <c r="F15" s="2">
        <f t="shared" si="0"/>
        <v>11912</v>
      </c>
      <c r="H15" s="70"/>
      <c r="O15" s="11" t="s">
        <v>1040</v>
      </c>
      <c r="Q15" s="29">
        <v>43285</v>
      </c>
      <c r="V15" s="134"/>
    </row>
    <row r="16" spans="1:22" x14ac:dyDescent="0.25">
      <c r="H16" s="70"/>
      <c r="T16" s="1">
        <v>43260</v>
      </c>
      <c r="U16" t="s">
        <v>1126</v>
      </c>
      <c r="V16" s="134"/>
    </row>
    <row r="17" spans="1:22" x14ac:dyDescent="0.25">
      <c r="T17" s="1">
        <v>43271</v>
      </c>
      <c r="U17" t="s">
        <v>1146</v>
      </c>
      <c r="V17" s="134"/>
    </row>
    <row r="18" spans="1:22" x14ac:dyDescent="0.25">
      <c r="A18" s="31" t="s">
        <v>81</v>
      </c>
      <c r="B18" s="14"/>
      <c r="C18" s="14">
        <f>SUM(C2:C15)</f>
        <v>950</v>
      </c>
      <c r="D18" s="18"/>
      <c r="E18" s="18"/>
      <c r="F18" s="18">
        <f>SUM(F2:F15)</f>
        <v>64062.94</v>
      </c>
      <c r="G18" s="14"/>
      <c r="H18" s="71">
        <f>SUM(H2:H10)</f>
        <v>750</v>
      </c>
      <c r="I18" s="791"/>
      <c r="J18" s="18"/>
      <c r="K18" s="18">
        <f>SUM(K2:K10)</f>
        <v>51386.539999999994</v>
      </c>
      <c r="L18" s="14"/>
      <c r="M18" s="18">
        <f>SUM(M2:M10)</f>
        <v>260</v>
      </c>
      <c r="T18" s="1">
        <v>43274</v>
      </c>
      <c r="U18" t="s">
        <v>1145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750</v>
      </c>
      <c r="D19" s="343"/>
      <c r="E19" s="343"/>
      <c r="F19" s="344">
        <f>SumByColor($A$19,F2:F17)</f>
        <v>52151</v>
      </c>
      <c r="G19" s="343"/>
      <c r="H19" s="343">
        <f>SumByColor($A$19,H2:H17)</f>
        <v>750</v>
      </c>
      <c r="I19" s="792"/>
      <c r="J19" s="343"/>
      <c r="K19" s="344">
        <f>SumByColor($A$19,K2:K17)</f>
        <v>51387</v>
      </c>
      <c r="L19" s="343"/>
      <c r="M19" s="344">
        <f>SumByColor($A$19,M2:M17)</f>
        <v>260</v>
      </c>
      <c r="V19" s="134"/>
    </row>
    <row r="20" spans="1:22" x14ac:dyDescent="0.25">
      <c r="T20" s="1">
        <v>43279</v>
      </c>
      <c r="U20" t="s">
        <v>1157</v>
      </c>
      <c r="V20" s="134"/>
    </row>
    <row r="21" spans="1:22" ht="20.25" thickBot="1" x14ac:dyDescent="0.35">
      <c r="O21" s="851" t="s">
        <v>78</v>
      </c>
      <c r="P21" s="851"/>
      <c r="U21" t="s">
        <v>1164</v>
      </c>
      <c r="V21" s="134"/>
    </row>
    <row r="22" spans="1:22" ht="15.75" thickTop="1" x14ac:dyDescent="0.25">
      <c r="O22" s="81">
        <v>1.1000000000000001</v>
      </c>
      <c r="P22" s="81">
        <f>O22*$Q$4</f>
        <v>70.103000000000009</v>
      </c>
      <c r="V22" s="134"/>
    </row>
    <row r="23" spans="1:22" x14ac:dyDescent="0.25">
      <c r="O23" s="81">
        <v>1.0900000000000001</v>
      </c>
      <c r="P23" s="81">
        <f t="shared" ref="P23:P42" si="2">O23*$Q$4</f>
        <v>69.465699999999998</v>
      </c>
      <c r="T23" s="1">
        <v>43285</v>
      </c>
      <c r="U23" t="s">
        <v>1160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669</v>
      </c>
      <c r="L24" s="220" t="s">
        <v>497</v>
      </c>
      <c r="M24" s="220" t="s">
        <v>973</v>
      </c>
      <c r="O24" s="81">
        <v>1.08</v>
      </c>
      <c r="P24" s="81">
        <f t="shared" si="2"/>
        <v>68.828400000000002</v>
      </c>
      <c r="U24" t="s">
        <v>1161</v>
      </c>
      <c r="V24" s="134"/>
    </row>
    <row r="25" spans="1:22" x14ac:dyDescent="0.25">
      <c r="B25" s="184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2">
        <f t="shared" ref="H25" si="5">(E25-D25)/D25</f>
        <v>1.6033547113960959E-3</v>
      </c>
      <c r="I25" s="193">
        <v>80.5</v>
      </c>
      <c r="J25" s="39"/>
      <c r="K25" s="39"/>
      <c r="L25" s="39"/>
      <c r="M25" s="39"/>
      <c r="O25" s="81">
        <v>1.07</v>
      </c>
      <c r="P25" s="81">
        <f t="shared" si="2"/>
        <v>68.191100000000006</v>
      </c>
      <c r="U25" t="s">
        <v>1162</v>
      </c>
      <c r="V25" s="134"/>
    </row>
    <row r="26" spans="1:22" x14ac:dyDescent="0.25">
      <c r="A26" s="1">
        <v>43028</v>
      </c>
      <c r="B26" s="184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2">
        <f t="shared" ref="H26" si="8">(E26-D26)/D26</f>
        <v>-2.9675108723458778E-2</v>
      </c>
      <c r="I26" s="193">
        <v>78</v>
      </c>
      <c r="J26" s="39"/>
      <c r="K26" s="39"/>
      <c r="L26" s="39"/>
      <c r="M26" s="39"/>
      <c r="O26" s="81">
        <v>1.06</v>
      </c>
      <c r="P26" s="81">
        <f t="shared" si="2"/>
        <v>67.553799999999995</v>
      </c>
      <c r="U26" t="s">
        <v>1163</v>
      </c>
      <c r="V26" s="134"/>
    </row>
    <row r="27" spans="1:22" x14ac:dyDescent="0.25">
      <c r="A27" s="1">
        <v>43028</v>
      </c>
      <c r="B27" s="184">
        <v>43014</v>
      </c>
      <c r="C27" s="10">
        <v>150</v>
      </c>
      <c r="D27" s="39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2">
        <f t="shared" ref="H27" si="11">(E27-D27)/D27</f>
        <v>-4.3564974978206328E-2</v>
      </c>
      <c r="I27" s="193">
        <v>76</v>
      </c>
      <c r="J27" s="39"/>
      <c r="K27" s="39"/>
      <c r="L27" s="155"/>
      <c r="M27" s="155"/>
      <c r="O27" s="81">
        <v>1.05</v>
      </c>
      <c r="P27" s="81">
        <f t="shared" si="2"/>
        <v>66.916499999999999</v>
      </c>
      <c r="V27" s="134"/>
    </row>
    <row r="28" spans="1:22" x14ac:dyDescent="0.25">
      <c r="A28" s="1">
        <v>43028</v>
      </c>
      <c r="B28" s="184">
        <v>43017</v>
      </c>
      <c r="C28" s="7">
        <v>200</v>
      </c>
      <c r="D28" s="43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2">
        <f t="shared" ref="H28" si="14">(E28-D28)/D28</f>
        <v>-5.7955602818024712E-2</v>
      </c>
      <c r="I28" s="193">
        <v>75</v>
      </c>
      <c r="J28" s="39"/>
      <c r="K28" s="39"/>
      <c r="L28" s="155"/>
      <c r="M28" s="155"/>
      <c r="O28" s="81">
        <v>1.04</v>
      </c>
      <c r="P28" s="81">
        <f t="shared" si="2"/>
        <v>66.279200000000003</v>
      </c>
      <c r="V28" s="134"/>
    </row>
    <row r="29" spans="1:22" x14ac:dyDescent="0.25">
      <c r="B29" s="184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2">
        <f t="shared" ref="H29" si="17">(E29-D29)/D29</f>
        <v>-5.7955602818024712E-2</v>
      </c>
      <c r="I29" s="193"/>
      <c r="J29" s="39"/>
      <c r="K29" s="39"/>
      <c r="L29" s="727"/>
      <c r="M29" s="727"/>
      <c r="O29" s="81">
        <v>1.03</v>
      </c>
      <c r="P29" s="81">
        <f t="shared" si="2"/>
        <v>65.641899999999993</v>
      </c>
      <c r="V29" s="134"/>
    </row>
    <row r="30" spans="1:22" x14ac:dyDescent="0.25">
      <c r="B30" s="184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2">
        <f t="shared" ref="H30:H40" si="20">(E30-D30)/D30</f>
        <v>-0.10195400770969031</v>
      </c>
      <c r="I30" s="193"/>
      <c r="J30" s="39"/>
      <c r="K30" s="39"/>
      <c r="L30" s="39">
        <v>15.91</v>
      </c>
      <c r="M30" s="727"/>
      <c r="O30" s="81">
        <v>1.02</v>
      </c>
      <c r="P30" s="81">
        <f t="shared" si="2"/>
        <v>65.004599999999996</v>
      </c>
      <c r="T30" s="156">
        <v>43318</v>
      </c>
      <c r="U30" t="s">
        <v>1193</v>
      </c>
      <c r="V30" s="134"/>
    </row>
    <row r="31" spans="1:22" x14ac:dyDescent="0.25">
      <c r="B31" s="184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2">
        <f t="shared" si="20"/>
        <v>-8.6230309614339959E-2</v>
      </c>
      <c r="I31" s="193">
        <v>73.2</v>
      </c>
      <c r="J31" s="39"/>
      <c r="K31" s="39"/>
      <c r="L31" s="727"/>
      <c r="M31" s="727"/>
      <c r="O31" s="81">
        <v>1.01</v>
      </c>
      <c r="P31" s="81">
        <f t="shared" si="2"/>
        <v>64.3673</v>
      </c>
      <c r="V31" s="134"/>
    </row>
    <row r="32" spans="1:22" x14ac:dyDescent="0.25">
      <c r="B32" s="184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2">
        <f t="shared" si="20"/>
        <v>-0.10939410212965534</v>
      </c>
      <c r="I32" s="193">
        <v>71.5</v>
      </c>
      <c r="J32" s="39"/>
      <c r="K32" s="39"/>
      <c r="L32" s="727"/>
      <c r="M32" s="727"/>
      <c r="O32" s="81">
        <v>1</v>
      </c>
      <c r="P32" s="81">
        <f t="shared" si="2"/>
        <v>63.73</v>
      </c>
      <c r="V32" s="134"/>
    </row>
    <row r="33" spans="1:22" x14ac:dyDescent="0.25">
      <c r="A33" s="29"/>
      <c r="B33" s="184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2">
        <f t="shared" si="20"/>
        <v>-9.8792562248002133E-2</v>
      </c>
      <c r="I33" s="193" t="s">
        <v>762</v>
      </c>
      <c r="J33" s="39"/>
      <c r="K33" s="39"/>
      <c r="L33" s="727"/>
      <c r="M33" s="727"/>
      <c r="O33" s="81">
        <v>0.99</v>
      </c>
      <c r="P33" s="81">
        <f t="shared" si="2"/>
        <v>63.092699999999994</v>
      </c>
      <c r="V33" s="134"/>
    </row>
    <row r="34" spans="1:22" x14ac:dyDescent="0.25">
      <c r="B34" s="184">
        <v>43052</v>
      </c>
      <c r="C34" s="10">
        <v>150</v>
      </c>
      <c r="D34" s="39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2">
        <f t="shared" si="20"/>
        <v>-5.6948480155899379E-2</v>
      </c>
      <c r="I34" s="193" t="s">
        <v>764</v>
      </c>
      <c r="J34" s="39"/>
      <c r="K34" s="39"/>
      <c r="L34" s="727"/>
      <c r="M34" s="727"/>
      <c r="O34" s="81">
        <v>0.98</v>
      </c>
      <c r="P34" s="81">
        <f t="shared" si="2"/>
        <v>62.455399999999997</v>
      </c>
      <c r="V34" s="134"/>
    </row>
    <row r="35" spans="1:22" x14ac:dyDescent="0.25">
      <c r="B35" s="184">
        <v>43059</v>
      </c>
      <c r="C35" s="7">
        <v>200</v>
      </c>
      <c r="D35" s="43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2">
        <f t="shared" si="20"/>
        <v>-3.885658624714651E-2</v>
      </c>
      <c r="I35" s="193"/>
      <c r="J35" s="39"/>
      <c r="K35" s="39"/>
      <c r="L35" s="727"/>
      <c r="M35" s="727"/>
      <c r="O35" s="81">
        <v>0.97</v>
      </c>
      <c r="P35" s="81">
        <f t="shared" si="2"/>
        <v>61.818099999999994</v>
      </c>
      <c r="V35" s="134"/>
    </row>
    <row r="36" spans="1:22" x14ac:dyDescent="0.25">
      <c r="A36">
        <v>100</v>
      </c>
      <c r="B36" s="184">
        <v>43069</v>
      </c>
      <c r="C36" s="10">
        <v>150</v>
      </c>
      <c r="D36" s="39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2">
        <f t="shared" si="20"/>
        <v>-1.4743638352958912E-2</v>
      </c>
      <c r="I36" s="193" t="s">
        <v>769</v>
      </c>
      <c r="J36" s="39"/>
      <c r="K36" s="39"/>
      <c r="L36" s="727"/>
      <c r="M36" s="727"/>
      <c r="O36" s="81">
        <v>0.96</v>
      </c>
      <c r="P36" s="81">
        <f t="shared" si="2"/>
        <v>61.180799999999998</v>
      </c>
      <c r="V36" s="134"/>
    </row>
    <row r="37" spans="1:22" x14ac:dyDescent="0.25">
      <c r="A37">
        <v>100</v>
      </c>
      <c r="B37" s="184">
        <v>43082</v>
      </c>
      <c r="C37" s="10">
        <v>150</v>
      </c>
      <c r="D37" s="39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2">
        <f t="shared" si="20"/>
        <v>-2.1762110331376056E-2</v>
      </c>
      <c r="I37" s="193" t="s">
        <v>773</v>
      </c>
      <c r="J37" s="39"/>
      <c r="K37" s="39"/>
      <c r="L37" s="39"/>
      <c r="M37" s="39"/>
      <c r="O37" s="81">
        <v>0.95</v>
      </c>
      <c r="P37" s="81">
        <f t="shared" si="2"/>
        <v>60.543499999999995</v>
      </c>
      <c r="V37" s="134"/>
    </row>
    <row r="38" spans="1:22" x14ac:dyDescent="0.25">
      <c r="A38">
        <v>0</v>
      </c>
      <c r="B38" s="184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2">
        <f t="shared" si="20"/>
        <v>3.8287980309038858E-3</v>
      </c>
      <c r="I38" s="193" t="s">
        <v>780</v>
      </c>
      <c r="J38" s="39"/>
      <c r="K38" s="39"/>
      <c r="L38" s="39"/>
      <c r="M38" s="39"/>
      <c r="O38" s="81">
        <v>0.94</v>
      </c>
      <c r="P38" s="81">
        <f t="shared" si="2"/>
        <v>59.906199999999991</v>
      </c>
      <c r="V38" s="134"/>
    </row>
    <row r="39" spans="1:22" x14ac:dyDescent="0.25">
      <c r="A39">
        <v>50</v>
      </c>
      <c r="B39" s="184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2">
        <f t="shared" si="20"/>
        <v>-1.4988223439588328E-2</v>
      </c>
      <c r="I39" s="193" t="s">
        <v>844</v>
      </c>
      <c r="J39" s="39"/>
      <c r="K39" s="39"/>
      <c r="L39" s="39"/>
      <c r="M39" s="39"/>
      <c r="O39" s="81">
        <v>0.93</v>
      </c>
      <c r="P39" s="81">
        <f t="shared" si="2"/>
        <v>59.268900000000002</v>
      </c>
      <c r="V39" s="134"/>
    </row>
    <row r="40" spans="1:22" x14ac:dyDescent="0.25">
      <c r="A40">
        <v>0</v>
      </c>
      <c r="B40" s="184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2">
        <f t="shared" si="20"/>
        <v>2.0125515168981138E-2</v>
      </c>
      <c r="I40" s="193" t="s">
        <v>850</v>
      </c>
      <c r="J40" s="39"/>
      <c r="K40" s="39"/>
      <c r="L40" s="39"/>
      <c r="M40" s="39"/>
      <c r="O40" s="81">
        <v>0.92</v>
      </c>
      <c r="P40" s="81">
        <f t="shared" si="2"/>
        <v>58.631599999999999</v>
      </c>
    </row>
    <row r="41" spans="1:22" x14ac:dyDescent="0.25">
      <c r="A41" s="1"/>
      <c r="B41" s="184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2">
        <f t="shared" ref="H41" si="23">(E41-D41)/D41</f>
        <v>3.3135892693763706E-2</v>
      </c>
      <c r="I41" s="193"/>
      <c r="J41" s="39"/>
      <c r="K41" s="39"/>
      <c r="L41" s="39"/>
      <c r="M41" s="39"/>
      <c r="O41" s="81">
        <v>0.91</v>
      </c>
      <c r="P41" s="81">
        <f t="shared" si="2"/>
        <v>57.994300000000003</v>
      </c>
      <c r="Q41" s="2"/>
    </row>
    <row r="42" spans="1:22" x14ac:dyDescent="0.25">
      <c r="A42">
        <v>50</v>
      </c>
      <c r="B42" s="184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2">
        <f t="shared" ref="H42:H47" si="26">(E42-D42)/D42</f>
        <v>6.0135923471000961E-2</v>
      </c>
      <c r="I42" s="193"/>
      <c r="J42" s="39"/>
      <c r="K42" s="39"/>
      <c r="L42" s="39"/>
      <c r="M42" s="39"/>
      <c r="O42" s="81">
        <v>0.9</v>
      </c>
      <c r="P42" s="81">
        <f t="shared" si="2"/>
        <v>57.356999999999999</v>
      </c>
      <c r="Q42" s="2"/>
    </row>
    <row r="43" spans="1:22" x14ac:dyDescent="0.25">
      <c r="A43">
        <v>50</v>
      </c>
      <c r="B43" s="184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2">
        <f t="shared" si="26"/>
        <v>-5.5785307751065553E-3</v>
      </c>
      <c r="I43" s="193"/>
      <c r="J43" s="39"/>
      <c r="K43" s="39"/>
      <c r="L43" s="39"/>
      <c r="M43" s="39"/>
      <c r="Q43" s="2"/>
    </row>
    <row r="44" spans="1:22" x14ac:dyDescent="0.25">
      <c r="A44">
        <v>50</v>
      </c>
      <c r="B44" s="184">
        <v>43139</v>
      </c>
      <c r="C44" s="10">
        <v>150</v>
      </c>
      <c r="D44" s="39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2">
        <f t="shared" si="26"/>
        <v>-2.6032431321152405E-2</v>
      </c>
      <c r="I44" s="193" t="s">
        <v>953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2">
        <f t="shared" si="26"/>
        <v>-5.7281970499773794E-4</v>
      </c>
      <c r="I45" s="193" t="s">
        <v>954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2">
        <f t="shared" si="26"/>
        <v>8.9182968929805029E-3</v>
      </c>
      <c r="I46" s="193" t="s">
        <v>955</v>
      </c>
      <c r="J46" s="39"/>
      <c r="K46" s="39"/>
      <c r="L46" s="39"/>
      <c r="M46" s="39"/>
      <c r="Q46" s="2"/>
    </row>
    <row r="47" spans="1:22" x14ac:dyDescent="0.25">
      <c r="A47">
        <v>0</v>
      </c>
      <c r="B47" s="184">
        <v>43166</v>
      </c>
      <c r="C47" s="7">
        <v>200</v>
      </c>
      <c r="D47" s="43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2">
        <f t="shared" si="26"/>
        <v>-3.0010965545104835E-3</v>
      </c>
      <c r="I47" s="193">
        <v>69</v>
      </c>
      <c r="J47" s="39"/>
      <c r="K47" s="39"/>
      <c r="L47" s="39"/>
      <c r="M47" s="39"/>
      <c r="Q47" s="2"/>
    </row>
    <row r="48" spans="1:22" x14ac:dyDescent="0.25">
      <c r="A48">
        <v>0</v>
      </c>
      <c r="B48" s="184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2">
        <f t="shared" ref="H48:H49" si="29">(E48-D48)/D48</f>
        <v>1.8641426675131113E-2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2">
        <f t="shared" si="29"/>
        <v>2.2779967539995404E-2</v>
      </c>
      <c r="I49" s="193" t="s">
        <v>185</v>
      </c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2">
        <f t="shared" ref="H50" si="32">(E50-D50)/D50</f>
        <v>-2.0838163691166277E-2</v>
      </c>
      <c r="I50" s="193"/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2">
        <f t="shared" ref="H51" si="35">(E51-D51)/D51</f>
        <v>-3.4604683514954659E-2</v>
      </c>
      <c r="I51" s="193"/>
      <c r="J51" s="39"/>
      <c r="K51" s="39"/>
      <c r="L51" s="39"/>
      <c r="M51" s="39"/>
      <c r="Q51" s="2"/>
    </row>
    <row r="52" spans="1:22" x14ac:dyDescent="0.25">
      <c r="A52">
        <v>50</v>
      </c>
      <c r="B52" s="184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2">
        <f t="shared" ref="H52" si="38">(E52-D52)/D52</f>
        <v>-4.4168792024113175E-2</v>
      </c>
      <c r="I52" s="193"/>
      <c r="J52" s="39"/>
      <c r="K52" s="39"/>
      <c r="L52" s="39"/>
      <c r="M52" s="39"/>
      <c r="Q52" s="2"/>
    </row>
    <row r="53" spans="1:22" x14ac:dyDescent="0.25">
      <c r="A53">
        <v>200</v>
      </c>
      <c r="B53" s="184">
        <v>43196</v>
      </c>
      <c r="C53" s="10">
        <v>200</v>
      </c>
      <c r="D53" s="39">
        <v>69.007999999999996</v>
      </c>
      <c r="E53" s="39">
        <v>63.47</v>
      </c>
      <c r="F53" s="39">
        <f t="shared" ref="F53:F54" si="39">C53*(E53-D53)</f>
        <v>-1107.5999999999995</v>
      </c>
      <c r="G53" s="39">
        <f t="shared" ref="G53:G54" si="40">D53*C53</f>
        <v>13801.599999999999</v>
      </c>
      <c r="H53" s="222">
        <f t="shared" ref="H53:H54" si="41">(E53-D53)/D53</f>
        <v>-8.0251565035937819E-2</v>
      </c>
      <c r="I53" s="193">
        <v>69</v>
      </c>
      <c r="J53" s="39"/>
      <c r="K53" s="39"/>
      <c r="L53" s="39"/>
      <c r="M53" s="39">
        <v>10.67</v>
      </c>
      <c r="Q53" s="2"/>
    </row>
    <row r="54" spans="1:22" x14ac:dyDescent="0.25">
      <c r="A54" s="4">
        <v>200</v>
      </c>
      <c r="B54" s="184">
        <v>43206</v>
      </c>
      <c r="C54" s="10">
        <v>200</v>
      </c>
      <c r="D54" s="39">
        <v>69.010000000000005</v>
      </c>
      <c r="E54" s="39">
        <v>66.22</v>
      </c>
      <c r="F54" s="39">
        <f t="shared" si="39"/>
        <v>-558.00000000000125</v>
      </c>
      <c r="G54" s="39">
        <f t="shared" si="40"/>
        <v>13802.000000000002</v>
      </c>
      <c r="H54" s="222">
        <f t="shared" si="41"/>
        <v>-4.0428923344442924E-2</v>
      </c>
      <c r="I54" s="193"/>
      <c r="J54" s="39"/>
      <c r="K54" s="39"/>
      <c r="L54" s="39">
        <v>42.23</v>
      </c>
      <c r="M54" s="39">
        <v>10.74</v>
      </c>
    </row>
    <row r="55" spans="1:22" x14ac:dyDescent="0.25">
      <c r="A55" s="4">
        <v>200</v>
      </c>
      <c r="B55" s="184">
        <v>43218</v>
      </c>
      <c r="C55" s="10">
        <v>200</v>
      </c>
      <c r="D55" s="39">
        <v>69.010000000000005</v>
      </c>
      <c r="E55" s="39">
        <v>67.11</v>
      </c>
      <c r="F55" s="39">
        <f t="shared" ref="F55:F62" si="42">C55*(E55-D55)</f>
        <v>-380.00000000000114</v>
      </c>
      <c r="G55" s="39">
        <f t="shared" ref="G55:G62" si="43">D55*C55</f>
        <v>13802.000000000002</v>
      </c>
      <c r="H55" s="222">
        <f t="shared" ref="H55:H62" si="44">(E55-D55)/D55</f>
        <v>-2.7532241704100936E-2</v>
      </c>
      <c r="I55" s="193"/>
      <c r="J55" s="39"/>
      <c r="K55" s="39"/>
      <c r="L55" s="39"/>
      <c r="M55" s="39">
        <v>11.28</v>
      </c>
    </row>
    <row r="56" spans="1:22" x14ac:dyDescent="0.25">
      <c r="A56" s="4">
        <v>200</v>
      </c>
      <c r="B56" s="184">
        <v>43226</v>
      </c>
      <c r="C56" s="10">
        <v>200</v>
      </c>
      <c r="D56" s="39">
        <v>69.010000000000005</v>
      </c>
      <c r="E56" s="39">
        <v>63.81</v>
      </c>
      <c r="F56" s="39">
        <f t="shared" si="42"/>
        <v>-1040.0000000000005</v>
      </c>
      <c r="G56" s="39">
        <f t="shared" si="43"/>
        <v>13802.000000000002</v>
      </c>
      <c r="H56" s="222">
        <f t="shared" si="44"/>
        <v>-7.5351398348065535E-2</v>
      </c>
      <c r="I56" s="193"/>
      <c r="J56" s="39"/>
      <c r="K56" s="39"/>
      <c r="L56" s="39"/>
      <c r="M56" s="39">
        <v>10.72</v>
      </c>
    </row>
    <row r="57" spans="1:22" x14ac:dyDescent="0.25">
      <c r="A57" s="4">
        <v>200</v>
      </c>
      <c r="B57" s="184">
        <v>43228</v>
      </c>
      <c r="C57" s="10">
        <v>300</v>
      </c>
      <c r="D57" s="39">
        <v>66.632199999999997</v>
      </c>
      <c r="E57" s="39">
        <v>62.36</v>
      </c>
      <c r="F57" s="39">
        <f t="shared" si="42"/>
        <v>-1281.6599999999994</v>
      </c>
      <c r="G57" s="39">
        <f t="shared" si="43"/>
        <v>19989.66</v>
      </c>
      <c r="H57" s="222">
        <f t="shared" si="44"/>
        <v>-6.4116148048541072E-2</v>
      </c>
      <c r="I57" s="193"/>
      <c r="J57" s="39"/>
      <c r="K57" s="39"/>
      <c r="L57" s="39"/>
      <c r="M57" s="39">
        <v>10.48</v>
      </c>
    </row>
    <row r="58" spans="1:22" x14ac:dyDescent="0.25">
      <c r="A58" s="4">
        <v>200</v>
      </c>
      <c r="B58" s="184">
        <v>43236</v>
      </c>
      <c r="C58" s="10">
        <v>300</v>
      </c>
      <c r="D58" s="39">
        <v>66.63</v>
      </c>
      <c r="E58" s="39">
        <v>65.739999999999995</v>
      </c>
      <c r="F58" s="39">
        <f t="shared" si="42"/>
        <v>-267.00000000000017</v>
      </c>
      <c r="G58" s="39">
        <f t="shared" si="43"/>
        <v>19989</v>
      </c>
      <c r="H58" s="222">
        <f t="shared" si="44"/>
        <v>-1.3357346540597339E-2</v>
      </c>
      <c r="I58" s="193"/>
      <c r="J58" s="39"/>
      <c r="K58" s="39"/>
      <c r="L58" s="39"/>
      <c r="M58" s="39">
        <v>11.05</v>
      </c>
    </row>
    <row r="59" spans="1:22" x14ac:dyDescent="0.25">
      <c r="A59" s="4">
        <v>200</v>
      </c>
      <c r="B59" s="184">
        <v>43241</v>
      </c>
      <c r="C59" s="10">
        <v>300</v>
      </c>
      <c r="D59" s="39">
        <v>66.63</v>
      </c>
      <c r="E59" s="39">
        <v>64.5</v>
      </c>
      <c r="F59" s="39">
        <f t="shared" si="42"/>
        <v>-638.99999999999864</v>
      </c>
      <c r="G59" s="39">
        <f t="shared" si="43"/>
        <v>19989</v>
      </c>
      <c r="H59" s="222">
        <f t="shared" si="44"/>
        <v>-3.1967582170193541E-2</v>
      </c>
      <c r="I59" s="193"/>
      <c r="J59" s="39"/>
      <c r="K59" s="39"/>
      <c r="L59" s="39"/>
      <c r="M59" s="39">
        <v>10.84</v>
      </c>
    </row>
    <row r="60" spans="1:22" x14ac:dyDescent="0.25">
      <c r="A60" s="4">
        <v>300</v>
      </c>
      <c r="B60" s="184">
        <v>43263</v>
      </c>
      <c r="C60" s="10">
        <v>300</v>
      </c>
      <c r="D60" s="39">
        <v>66.232200000000006</v>
      </c>
      <c r="E60" s="39">
        <v>63.7</v>
      </c>
      <c r="F60" s="39">
        <f t="shared" si="42"/>
        <v>-759.66000000000099</v>
      </c>
      <c r="G60" s="39">
        <f t="shared" si="43"/>
        <v>19869.660000000003</v>
      </c>
      <c r="H60" s="222">
        <f t="shared" si="44"/>
        <v>-3.8232158980073178E-2</v>
      </c>
      <c r="I60" s="193"/>
      <c r="J60" s="39"/>
      <c r="K60" s="39"/>
      <c r="L60" s="39"/>
      <c r="M60" s="39">
        <v>10.71</v>
      </c>
    </row>
    <row r="61" spans="1:22" x14ac:dyDescent="0.25">
      <c r="A61" s="4">
        <v>300</v>
      </c>
      <c r="B61" s="184">
        <v>43267</v>
      </c>
      <c r="C61" s="10">
        <v>300</v>
      </c>
      <c r="D61" s="39">
        <v>66.232200000000006</v>
      </c>
      <c r="E61" s="39">
        <v>65.8</v>
      </c>
      <c r="F61" s="39">
        <f t="shared" si="42"/>
        <v>-129.66000000000264</v>
      </c>
      <c r="G61" s="39">
        <f t="shared" si="43"/>
        <v>19869.660000000003</v>
      </c>
      <c r="H61" s="222">
        <f t="shared" si="44"/>
        <v>-6.5255268585372181E-3</v>
      </c>
      <c r="I61" s="193"/>
      <c r="J61" s="39"/>
      <c r="K61" s="39"/>
      <c r="L61" s="39"/>
      <c r="M61" s="39">
        <v>11.06</v>
      </c>
    </row>
    <row r="62" spans="1:22" x14ac:dyDescent="0.25">
      <c r="A62" s="4">
        <v>200</v>
      </c>
      <c r="B62" s="184">
        <v>43271</v>
      </c>
      <c r="C62" s="7">
        <v>200</v>
      </c>
      <c r="D62" s="43">
        <v>65.473699999999994</v>
      </c>
      <c r="E62" s="39">
        <v>68</v>
      </c>
      <c r="F62" s="39">
        <f t="shared" si="42"/>
        <v>505.26000000000124</v>
      </c>
      <c r="G62" s="39">
        <f t="shared" si="43"/>
        <v>13094.739999999998</v>
      </c>
      <c r="H62" s="222">
        <f t="shared" si="44"/>
        <v>3.8584958540604952E-2</v>
      </c>
      <c r="I62" s="193"/>
      <c r="J62" s="39"/>
      <c r="K62" s="39"/>
      <c r="L62" s="39"/>
      <c r="M62" s="39">
        <v>11.43</v>
      </c>
      <c r="V62" s="134"/>
    </row>
    <row r="63" spans="1:22" x14ac:dyDescent="0.25">
      <c r="A63" s="4">
        <v>200</v>
      </c>
      <c r="B63" s="184">
        <v>43278</v>
      </c>
      <c r="C63" s="10">
        <v>200</v>
      </c>
      <c r="D63" s="39">
        <v>65.473699999999994</v>
      </c>
      <c r="E63" s="39">
        <v>66.260000000000005</v>
      </c>
      <c r="F63" s="39">
        <f t="shared" ref="F63:F67" si="45">C63*(E63-D63)</f>
        <v>157.26000000000226</v>
      </c>
      <c r="G63" s="39">
        <f t="shared" ref="G63:G67" si="46">D63*C63</f>
        <v>13094.739999999998</v>
      </c>
      <c r="H63" s="222">
        <f t="shared" ref="H63:H67" si="47">(E63-D63)/D63</f>
        <v>1.2009402248536609E-2</v>
      </c>
      <c r="I63" s="193"/>
      <c r="J63" s="39"/>
      <c r="K63" s="39"/>
      <c r="L63" s="39"/>
      <c r="M63" s="39">
        <v>11.14</v>
      </c>
      <c r="V63" s="134"/>
    </row>
    <row r="64" spans="1:22" x14ac:dyDescent="0.25">
      <c r="A64" s="4">
        <v>200</v>
      </c>
      <c r="B64" s="184">
        <v>43279</v>
      </c>
      <c r="C64" s="10">
        <v>400</v>
      </c>
      <c r="D64" s="39">
        <v>62.517000000000003</v>
      </c>
      <c r="E64" s="39">
        <v>59.7</v>
      </c>
      <c r="F64" s="39">
        <f t="shared" si="45"/>
        <v>-1126.8000000000002</v>
      </c>
      <c r="G64" s="39">
        <f t="shared" si="46"/>
        <v>25006.800000000003</v>
      </c>
      <c r="H64" s="222">
        <f t="shared" si="47"/>
        <v>-4.5059743749700079E-2</v>
      </c>
      <c r="I64" s="193"/>
      <c r="J64" s="39"/>
      <c r="K64" s="39"/>
      <c r="L64" s="39"/>
      <c r="M64" s="39">
        <v>10.029999999999999</v>
      </c>
      <c r="V64" s="134"/>
    </row>
    <row r="65" spans="1:22" x14ac:dyDescent="0.25">
      <c r="A65" s="4">
        <v>200</v>
      </c>
      <c r="B65" s="184">
        <v>43283</v>
      </c>
      <c r="C65" s="10">
        <v>400</v>
      </c>
      <c r="D65" s="39">
        <v>62.52</v>
      </c>
      <c r="E65" s="39">
        <v>61.13</v>
      </c>
      <c r="F65" s="39">
        <f t="shared" si="45"/>
        <v>-556.00000000000023</v>
      </c>
      <c r="G65" s="39">
        <f t="shared" si="46"/>
        <v>25008</v>
      </c>
      <c r="H65" s="222">
        <f t="shared" si="47"/>
        <v>-2.2232885476647479E-2</v>
      </c>
      <c r="I65" s="193"/>
      <c r="J65" s="39"/>
      <c r="K65" s="39"/>
      <c r="L65" s="39"/>
      <c r="M65" s="39">
        <v>10.27</v>
      </c>
      <c r="V65" s="134"/>
    </row>
    <row r="66" spans="1:22" x14ac:dyDescent="0.25">
      <c r="A66" s="4">
        <v>200</v>
      </c>
      <c r="B66" s="184">
        <v>43285</v>
      </c>
      <c r="C66" s="10">
        <v>400</v>
      </c>
      <c r="D66" s="39">
        <v>62.52</v>
      </c>
      <c r="E66" s="39">
        <v>60.76</v>
      </c>
      <c r="F66" s="39">
        <f t="shared" si="45"/>
        <v>-704.00000000000205</v>
      </c>
      <c r="G66" s="39">
        <f t="shared" si="46"/>
        <v>25008</v>
      </c>
      <c r="H66" s="222">
        <f t="shared" si="47"/>
        <v>-2.8150991682661629E-2</v>
      </c>
      <c r="I66" s="193"/>
      <c r="J66" s="39"/>
      <c r="K66" s="39"/>
      <c r="L66" s="39"/>
      <c r="M66" s="39">
        <v>10.17</v>
      </c>
      <c r="V66" s="134"/>
    </row>
    <row r="67" spans="1:22" x14ac:dyDescent="0.25">
      <c r="A67" s="4">
        <v>100</v>
      </c>
      <c r="B67" s="184">
        <v>43286</v>
      </c>
      <c r="C67" s="10">
        <v>300</v>
      </c>
      <c r="D67" s="39">
        <v>62.563000000000002</v>
      </c>
      <c r="E67" s="39">
        <v>62.38</v>
      </c>
      <c r="F67" s="39">
        <f t="shared" si="45"/>
        <v>-54.899999999999949</v>
      </c>
      <c r="G67" s="39">
        <f t="shared" si="46"/>
        <v>18768.900000000001</v>
      </c>
      <c r="H67" s="222">
        <f t="shared" si="47"/>
        <v>-2.9250515480395735E-3</v>
      </c>
      <c r="I67" s="193"/>
      <c r="J67" s="39"/>
      <c r="K67" s="39"/>
      <c r="L67" s="39"/>
      <c r="M67" s="39">
        <v>10.44</v>
      </c>
      <c r="V67" s="134"/>
    </row>
    <row r="68" spans="1:22" x14ac:dyDescent="0.25">
      <c r="A68" s="4">
        <v>0</v>
      </c>
      <c r="B68" s="184">
        <v>43287</v>
      </c>
      <c r="C68" s="7">
        <v>200</v>
      </c>
      <c r="D68" s="43">
        <v>62.08</v>
      </c>
      <c r="E68" s="39">
        <v>63.53</v>
      </c>
      <c r="F68" s="39">
        <f t="shared" ref="F68" si="48">C68*(E68-D68)</f>
        <v>290.00000000000057</v>
      </c>
      <c r="G68" s="39">
        <f t="shared" ref="G68" si="49">D68*C68</f>
        <v>12416</v>
      </c>
      <c r="H68" s="222">
        <f t="shared" ref="H68" si="50">(E68-D68)/D68</f>
        <v>2.3356958762886643E-2</v>
      </c>
      <c r="I68" s="193"/>
      <c r="J68" s="39"/>
      <c r="K68" s="39"/>
      <c r="L68" s="39"/>
      <c r="M68" s="39">
        <v>10.63</v>
      </c>
      <c r="V68" s="134"/>
    </row>
    <row r="69" spans="1:22" x14ac:dyDescent="0.25">
      <c r="A69" s="4"/>
      <c r="B69" s="184"/>
      <c r="C69" s="10"/>
      <c r="D69" s="39"/>
      <c r="E69" s="39"/>
      <c r="F69" s="39"/>
      <c r="G69" s="39"/>
      <c r="H69" s="222"/>
      <c r="I69" s="193"/>
      <c r="J69" s="39"/>
      <c r="K69" s="39"/>
      <c r="L69" s="39"/>
      <c r="M69" s="39"/>
      <c r="V69" s="134"/>
    </row>
    <row r="70" spans="1:22" x14ac:dyDescent="0.25">
      <c r="A70" s="4"/>
      <c r="B70" s="184"/>
      <c r="C70" s="10"/>
      <c r="D70" s="39"/>
      <c r="E70" s="39"/>
      <c r="F70" s="39"/>
      <c r="G70" s="39"/>
      <c r="H70" s="222"/>
      <c r="I70" s="193"/>
      <c r="J70" s="39"/>
      <c r="K70" s="39"/>
      <c r="L70" s="39"/>
      <c r="M70" s="39"/>
    </row>
    <row r="71" spans="1:22" x14ac:dyDescent="0.25">
      <c r="A71" s="4"/>
      <c r="B71" s="184"/>
      <c r="C71" s="10"/>
      <c r="D71" s="39"/>
      <c r="E71" s="39"/>
      <c r="F71" s="39"/>
      <c r="G71" s="39"/>
      <c r="H71" s="222"/>
      <c r="I71" s="193"/>
      <c r="J71" s="39"/>
      <c r="K71" s="39"/>
      <c r="L71" s="39"/>
      <c r="M71" s="39"/>
    </row>
    <row r="72" spans="1:22" x14ac:dyDescent="0.25">
      <c r="A72" s="4"/>
      <c r="B72" s="184"/>
      <c r="C72" s="10"/>
      <c r="D72" s="39"/>
      <c r="E72" s="39"/>
      <c r="F72" s="39"/>
      <c r="G72" s="39"/>
      <c r="H72" s="222"/>
      <c r="I72" s="193"/>
      <c r="J72" s="39"/>
      <c r="K72" s="39"/>
      <c r="L72" s="39"/>
      <c r="M72" s="39"/>
    </row>
    <row r="73" spans="1:22" x14ac:dyDescent="0.25">
      <c r="A73" s="4"/>
      <c r="B73" s="184"/>
      <c r="C73" s="10"/>
      <c r="D73" s="39"/>
      <c r="E73" s="39"/>
      <c r="F73" s="39"/>
      <c r="G73" s="39"/>
      <c r="H73" s="222"/>
      <c r="I73" s="193"/>
      <c r="J73" s="39"/>
      <c r="K73" s="39"/>
      <c r="L73" s="39"/>
      <c r="M73" s="39"/>
    </row>
    <row r="74" spans="1:22" x14ac:dyDescent="0.25">
      <c r="A74" s="4"/>
      <c r="B74" s="184"/>
      <c r="C74" s="10"/>
      <c r="D74" s="39"/>
      <c r="E74" s="39"/>
      <c r="F74" s="39"/>
      <c r="G74" s="39"/>
      <c r="H74" s="222"/>
      <c r="I74" s="193"/>
      <c r="J74" s="39"/>
      <c r="K74" s="39"/>
      <c r="L74" s="39"/>
      <c r="M74" s="39"/>
    </row>
    <row r="75" spans="1:22" x14ac:dyDescent="0.25">
      <c r="A75" s="4"/>
      <c r="B75" s="184"/>
      <c r="C75" s="10"/>
      <c r="D75" s="39"/>
      <c r="E75" s="39"/>
      <c r="F75" s="39"/>
      <c r="G75" s="39"/>
      <c r="H75" s="222"/>
      <c r="I75" s="193"/>
      <c r="J75" s="39"/>
      <c r="K75" s="39"/>
      <c r="L75" s="39"/>
      <c r="M75" s="39"/>
    </row>
    <row r="76" spans="1:22" x14ac:dyDescent="0.25">
      <c r="A76" s="4"/>
      <c r="B76" s="184"/>
      <c r="C76" s="10"/>
      <c r="D76" s="39"/>
      <c r="E76" s="39"/>
      <c r="F76" s="39"/>
      <c r="G76" s="39"/>
      <c r="H76" s="222"/>
      <c r="I76" s="193"/>
      <c r="J76" s="39"/>
      <c r="K76" s="39"/>
      <c r="L76" s="39"/>
      <c r="M76" s="39"/>
    </row>
    <row r="77" spans="1:22" x14ac:dyDescent="0.25">
      <c r="A77" s="4"/>
      <c r="B77" s="184"/>
      <c r="C77" s="10"/>
      <c r="D77" s="39"/>
      <c r="E77" s="39"/>
      <c r="F77" s="39"/>
      <c r="G77" s="39"/>
      <c r="H77" s="222"/>
      <c r="I77" s="193"/>
      <c r="J77" s="39"/>
      <c r="K77" s="39"/>
      <c r="L77" s="39"/>
      <c r="M77" s="39"/>
    </row>
    <row r="78" spans="1:22" x14ac:dyDescent="0.25">
      <c r="A78" s="4"/>
      <c r="B78" s="184"/>
      <c r="C78" s="10"/>
      <c r="D78" s="39"/>
      <c r="E78" s="39"/>
      <c r="F78" s="39"/>
      <c r="G78" s="39"/>
      <c r="H78" s="222"/>
      <c r="I78" s="193"/>
      <c r="J78" s="39"/>
      <c r="K78" s="39"/>
      <c r="L78" s="39"/>
      <c r="M78" s="39"/>
    </row>
    <row r="79" spans="1:22" x14ac:dyDescent="0.25">
      <c r="A79" s="4"/>
      <c r="B79" s="184"/>
      <c r="C79" s="10"/>
      <c r="D79" s="39"/>
      <c r="E79" s="39"/>
      <c r="F79" s="39"/>
      <c r="G79" s="39"/>
      <c r="H79" s="222"/>
      <c r="I79" s="193"/>
      <c r="J79" s="39"/>
      <c r="K79" s="39"/>
      <c r="L79" s="39"/>
      <c r="M79" s="39"/>
    </row>
    <row r="80" spans="1:22" x14ac:dyDescent="0.25">
      <c r="A80" s="4"/>
      <c r="B80" s="184"/>
      <c r="C80" s="10"/>
      <c r="D80" s="39"/>
      <c r="E80" s="39"/>
      <c r="F80" s="39"/>
      <c r="G80" s="39"/>
      <c r="H80" s="222"/>
      <c r="I80" s="193"/>
      <c r="J80" s="39"/>
      <c r="K80" s="39"/>
      <c r="L80" s="39"/>
      <c r="M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554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554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793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734</v>
      </c>
      <c r="B84" s="496"/>
      <c r="C84" s="497"/>
      <c r="D84" s="499"/>
      <c r="E84" s="499"/>
      <c r="F84" s="499"/>
      <c r="G84" s="496"/>
      <c r="H84" s="513"/>
      <c r="I84" s="794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794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794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794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794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794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794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794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794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794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794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794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794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795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SumByColor($A$19,C84:C99)</f>
        <v>0</v>
      </c>
      <c r="D101" s="520"/>
      <c r="E101" s="520"/>
      <c r="F101" s="521">
        <f>SumByColor($A$19,F84:F99)</f>
        <v>0</v>
      </c>
      <c r="G101" s="520"/>
      <c r="H101" s="520">
        <f>SumByColor($A$19,H84:H99)</f>
        <v>0</v>
      </c>
      <c r="I101" s="796"/>
      <c r="J101" s="520"/>
      <c r="K101" s="521">
        <f>SumByColor($A$19,K85:K99)</f>
        <v>0</v>
      </c>
      <c r="L101" s="520"/>
      <c r="M101" s="521">
        <f>SumByColor($A$19,M84:M99)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193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193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193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193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193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193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193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193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193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</sheetData>
  <mergeCells count="1">
    <mergeCell ref="O21:P21"/>
  </mergeCells>
  <conditionalFormatting sqref="O22:O4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Q7 F77:F80 H77:H80 H25:H64 F25:F64">
    <cfRule type="expression" dxfId="1344" priority="29">
      <formula>F7&gt;0</formula>
    </cfRule>
    <cfRule type="expression" dxfId="1343" priority="30">
      <formula>F7&lt;0</formula>
    </cfRule>
  </conditionalFormatting>
  <conditionalFormatting sqref="Q8">
    <cfRule type="expression" dxfId="1342" priority="27">
      <formula>Q8&gt;0</formula>
    </cfRule>
    <cfRule type="expression" dxfId="1341" priority="28">
      <formula>Q8&lt;0</formula>
    </cfRule>
  </conditionalFormatting>
  <conditionalFormatting sqref="F105:F126">
    <cfRule type="expression" dxfId="1340" priority="21">
      <formula>F105&gt;0</formula>
    </cfRule>
    <cfRule type="expression" dxfId="1339" priority="22">
      <formula>F105&lt;0</formula>
    </cfRule>
  </conditionalFormatting>
  <conditionalFormatting sqref="H105:H126">
    <cfRule type="expression" dxfId="1338" priority="19">
      <formula>H105&gt;0</formula>
    </cfRule>
    <cfRule type="expression" dxfId="1337" priority="20">
      <formula>H105&lt;0</formula>
    </cfRule>
  </conditionalFormatting>
  <conditionalFormatting sqref="Q10">
    <cfRule type="expression" dxfId="1336" priority="17">
      <formula>Q10&gt;0</formula>
    </cfRule>
    <cfRule type="expression" dxfId="1335" priority="18">
      <formula>Q10&lt;0</formula>
    </cfRule>
  </conditionalFormatting>
  <conditionalFormatting sqref="J25:J38">
    <cfRule type="expression" dxfId="1334" priority="15">
      <formula>J25&gt;0</formula>
    </cfRule>
    <cfRule type="expression" dxfId="1333" priority="16">
      <formula>J25&lt;0</formula>
    </cfRule>
  </conditionalFormatting>
  <conditionalFormatting sqref="K25:K38">
    <cfRule type="expression" dxfId="1332" priority="13">
      <formula>K25&gt;0</formula>
    </cfRule>
    <cfRule type="expression" dxfId="1331" priority="14">
      <formula>K25&lt;0</formula>
    </cfRule>
  </conditionalFormatting>
  <conditionalFormatting sqref="L25:L29 L31:L38">
    <cfRule type="expression" dxfId="1330" priority="11">
      <formula>L25&gt;0</formula>
    </cfRule>
    <cfRule type="expression" dxfId="1329" priority="12">
      <formula>L25&lt;0</formula>
    </cfRule>
  </conditionalFormatting>
  <conditionalFormatting sqref="M25:M38">
    <cfRule type="expression" dxfId="1328" priority="9">
      <formula>M25&gt;0</formula>
    </cfRule>
    <cfRule type="expression" dxfId="1327" priority="10">
      <formula>M25&lt;0</formula>
    </cfRule>
  </conditionalFormatting>
  <conditionalFormatting sqref="F73:F76 H73:H76">
    <cfRule type="expression" dxfId="1326" priority="5">
      <formula>F73&gt;0</formula>
    </cfRule>
    <cfRule type="expression" dxfId="1325" priority="6">
      <formula>F73&lt;0</formula>
    </cfRule>
  </conditionalFormatting>
  <conditionalFormatting sqref="F69:F72 H69:H72">
    <cfRule type="expression" dxfId="1324" priority="3">
      <formula>F69&gt;0</formula>
    </cfRule>
    <cfRule type="expression" dxfId="1323" priority="4">
      <formula>F69&lt;0</formula>
    </cfRule>
  </conditionalFormatting>
  <conditionalFormatting sqref="F65:F68 H65:H68">
    <cfRule type="expression" dxfId="1322" priority="1">
      <formula>F65&gt;0</formula>
    </cfRule>
    <cfRule type="expression" dxfId="1321" priority="2">
      <formula>F65&lt;0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734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690.62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690.62</v>
      </c>
      <c r="R4" s="495">
        <v>1.2800000000000001E-2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207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669</v>
      </c>
      <c r="L24" s="220" t="s">
        <v>675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2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2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759.68200000000002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752.7758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745.8696000000001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738.96340000000009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732.05720000000008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725.15100000000007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718.24480000000005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711.33860000000004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704.43240000000003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697.52620000000002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690.62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683.71379999999999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676.80759999999998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669.90139999999997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662.99519999999995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656.08899999999994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649.18279999999993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642.27660000000003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635.37040000000002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628.46420000000001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621.55799999999999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734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20" priority="21">
      <formula>F47&gt;0</formula>
    </cfRule>
    <cfRule type="expression" dxfId="1319" priority="22">
      <formula>F47&lt;0</formula>
    </cfRule>
  </conditionalFormatting>
  <conditionalFormatting sqref="Q7">
    <cfRule type="expression" dxfId="1318" priority="19">
      <formula>Q7&gt;0</formula>
    </cfRule>
    <cfRule type="expression" dxfId="1317" priority="20">
      <formula>Q7&lt;0</formula>
    </cfRule>
  </conditionalFormatting>
  <conditionalFormatting sqref="Q8">
    <cfRule type="expression" dxfId="1316" priority="17">
      <formula>Q8&gt;0</formula>
    </cfRule>
    <cfRule type="expression" dxfId="1315" priority="18">
      <formula>Q8&lt;0</formula>
    </cfRule>
  </conditionalFormatting>
  <conditionalFormatting sqref="F25:F46">
    <cfRule type="expression" dxfId="1314" priority="15">
      <formula>F25&gt;0</formula>
    </cfRule>
    <cfRule type="expression" dxfId="1313" priority="16">
      <formula>F25&lt;0</formula>
    </cfRule>
  </conditionalFormatting>
  <conditionalFormatting sqref="H25:H46">
    <cfRule type="expression" dxfId="1312" priority="13">
      <formula>H25&gt;0</formula>
    </cfRule>
    <cfRule type="expression" dxfId="1311" priority="14">
      <formula>H25&lt;0</formula>
    </cfRule>
  </conditionalFormatting>
  <conditionalFormatting sqref="F89:F110">
    <cfRule type="expression" dxfId="1310" priority="11">
      <formula>F89&gt;0</formula>
    </cfRule>
    <cfRule type="expression" dxfId="1309" priority="12">
      <formula>F89&lt;0</formula>
    </cfRule>
  </conditionalFormatting>
  <conditionalFormatting sqref="H89:H110">
    <cfRule type="expression" dxfId="1308" priority="9">
      <formula>H89&gt;0</formula>
    </cfRule>
    <cfRule type="expression" dxfId="1307" priority="10">
      <formula>H89&lt;0</formula>
    </cfRule>
  </conditionalFormatting>
  <conditionalFormatting sqref="Q10">
    <cfRule type="expression" dxfId="1306" priority="7">
      <formula>Q10&gt;0</formula>
    </cfRule>
    <cfRule type="expression" dxfId="1305" priority="8">
      <formula>Q10&lt;0</formula>
    </cfRule>
  </conditionalFormatting>
  <conditionalFormatting sqref="J25:J38">
    <cfRule type="expression" dxfId="1304" priority="5">
      <formula>J25&gt;0</formula>
    </cfRule>
    <cfRule type="expression" dxfId="1303" priority="6">
      <formula>J25&lt;0</formula>
    </cfRule>
  </conditionalFormatting>
  <conditionalFormatting sqref="K25:K38">
    <cfRule type="expression" dxfId="1302" priority="3">
      <formula>K25&gt;0</formula>
    </cfRule>
    <cfRule type="expression" dxfId="1301" priority="4">
      <formula>K25&lt;0</formula>
    </cfRule>
  </conditionalFormatting>
  <conditionalFormatting sqref="L25:L38">
    <cfRule type="expression" dxfId="1300" priority="1">
      <formula>L25&gt;0</formula>
    </cfRule>
    <cfRule type="expression" dxfId="129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945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ref="F3:F4" si="1">C3*D3+E3</f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>H3*I3-J3</f>
        <v>4487.9399999999996</v>
      </c>
      <c r="L3" s="4"/>
      <c r="M3" s="4"/>
      <c r="O3" s="11" t="s">
        <v>58</v>
      </c>
      <c r="Q3" s="221">
        <f>IF(Q2=0, Q4, (F18-K18-M18)/Q2)</f>
        <v>53.46</v>
      </c>
      <c r="T3" s="1">
        <v>43161</v>
      </c>
      <c r="U3" t="s">
        <v>989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1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>H4*I4-J4</f>
        <v>2328.9699999999998</v>
      </c>
      <c r="L4" s="4"/>
      <c r="M4" s="4"/>
      <c r="O4" s="11" t="s">
        <v>66</v>
      </c>
      <c r="Q4" s="54">
        <v>53.46</v>
      </c>
      <c r="R4" s="495">
        <v>2.2200000000000001E-2</v>
      </c>
      <c r="T4" s="770"/>
      <c r="U4" s="30" t="s">
        <v>990</v>
      </c>
    </row>
    <row r="5" spans="1:21" x14ac:dyDescent="0.25">
      <c r="B5" s="72"/>
      <c r="C5" s="4"/>
      <c r="D5" s="3"/>
      <c r="E5" s="3"/>
      <c r="F5" s="3"/>
      <c r="G5" s="434">
        <v>43287</v>
      </c>
      <c r="H5" s="80">
        <v>50</v>
      </c>
      <c r="I5" s="43">
        <v>53.08</v>
      </c>
      <c r="J5" s="43">
        <v>0.03</v>
      </c>
      <c r="K5" s="43">
        <f>H5*I5-J5</f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1902.8299999999981</v>
      </c>
      <c r="R7">
        <v>0</v>
      </c>
      <c r="T7" s="1">
        <v>43244</v>
      </c>
      <c r="U7" t="s">
        <v>1099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1902.8299999999981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2.5813692480359144E-2</v>
      </c>
      <c r="R11">
        <f>0.345</f>
        <v>0.34499999999999997</v>
      </c>
    </row>
    <row r="12" spans="1:21" x14ac:dyDescent="0.25">
      <c r="H12" s="70"/>
      <c r="O12" s="11" t="s">
        <v>946</v>
      </c>
      <c r="Q12" s="1"/>
    </row>
    <row r="13" spans="1:21" x14ac:dyDescent="0.25">
      <c r="H13" s="70"/>
      <c r="O13" s="11" t="s">
        <v>973</v>
      </c>
      <c r="Q13">
        <f>Q4/4.4</f>
        <v>12.149999999999999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1" t="s">
        <v>78</v>
      </c>
      <c r="P16" s="851"/>
    </row>
    <row r="17" spans="1:16" ht="15.75" thickTop="1" x14ac:dyDescent="0.25">
      <c r="O17" s="81">
        <v>1.1000000000000001</v>
      </c>
      <c r="P17" s="81">
        <f>O17*$Q$4</f>
        <v>58.806000000000004</v>
      </c>
    </row>
    <row r="18" spans="1:16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9856</v>
      </c>
      <c r="G18" s="14"/>
      <c r="H18" s="71">
        <f>SUM(H2:H5)</f>
        <v>250</v>
      </c>
      <c r="I18" s="18"/>
      <c r="J18" s="18"/>
      <c r="K18" s="18">
        <f>SUM(K2:K5)</f>
        <v>11689.829999999998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58.271400000000007</v>
      </c>
    </row>
    <row r="19" spans="1:16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9856</v>
      </c>
      <c r="G19" s="343"/>
      <c r="H19" s="343">
        <f>SumByColor($A$19,H2:H17)</f>
        <v>250</v>
      </c>
      <c r="I19" s="343"/>
      <c r="J19" s="343"/>
      <c r="K19" s="344">
        <f>SumByColor($A$19,K2:K17)</f>
        <v>11690</v>
      </c>
      <c r="L19" s="343"/>
      <c r="M19" s="344">
        <f>SumByColor($A$19,M2:M17)</f>
        <v>69</v>
      </c>
      <c r="O19" s="81">
        <v>1.08</v>
      </c>
      <c r="P19" s="81">
        <f t="shared" si="2"/>
        <v>57.736800000000002</v>
      </c>
    </row>
    <row r="20" spans="1:16" x14ac:dyDescent="0.25">
      <c r="O20" s="81">
        <v>1.07</v>
      </c>
      <c r="P20" s="81">
        <f t="shared" si="2"/>
        <v>57.202200000000005</v>
      </c>
    </row>
    <row r="21" spans="1:16" x14ac:dyDescent="0.25">
      <c r="O21" s="81">
        <v>1.06</v>
      </c>
      <c r="P21" s="81">
        <f t="shared" si="2"/>
        <v>56.667600000000007</v>
      </c>
    </row>
    <row r="22" spans="1:16" x14ac:dyDescent="0.25">
      <c r="O22" s="81">
        <v>1.05</v>
      </c>
      <c r="P22" s="81">
        <f t="shared" si="2"/>
        <v>56.133000000000003</v>
      </c>
    </row>
    <row r="23" spans="1:16" x14ac:dyDescent="0.25">
      <c r="O23" s="81">
        <v>1.04</v>
      </c>
      <c r="P23" s="81">
        <f t="shared" si="2"/>
        <v>55.598400000000005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973</v>
      </c>
      <c r="O24" s="81">
        <v>1.03</v>
      </c>
      <c r="P24" s="81">
        <f t="shared" si="2"/>
        <v>55.063800000000001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 t="shared" ref="F25" si="3">C25*(E25-D25)</f>
        <v>664</v>
      </c>
      <c r="G25" s="39">
        <f t="shared" ref="G25" si="4">D25*C25</f>
        <v>7756</v>
      </c>
      <c r="H25" s="222">
        <f t="shared" ref="H25" si="5"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54.529200000000003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 t="shared" ref="F26:F29" si="6">C26*(E26-D26)</f>
        <v>1015.9999999999997</v>
      </c>
      <c r="G26" s="39">
        <f t="shared" ref="G26:G29" si="7">D26*C26</f>
        <v>7756</v>
      </c>
      <c r="H26" s="222">
        <f t="shared" ref="H26:H29" si="8"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53.994599999999998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 t="shared" si="6"/>
        <v>992.00000000000023</v>
      </c>
      <c r="G27" s="39">
        <f t="shared" si="7"/>
        <v>7756</v>
      </c>
      <c r="H27" s="222">
        <f t="shared" si="8"/>
        <v>0.12790097988653948</v>
      </c>
      <c r="I27" s="39"/>
      <c r="J27" s="39"/>
      <c r="K27" s="39"/>
      <c r="L27" s="39"/>
      <c r="O27" s="81">
        <v>1</v>
      </c>
      <c r="P27" s="81">
        <f t="shared" si="2"/>
        <v>53.46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 t="shared" si="6"/>
        <v>1295.9999999999993</v>
      </c>
      <c r="G28" s="39">
        <f t="shared" si="7"/>
        <v>7756</v>
      </c>
      <c r="H28" s="222">
        <f t="shared" si="8"/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52.925400000000003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 t="shared" si="6"/>
        <v>914</v>
      </c>
      <c r="G29" s="39">
        <f t="shared" si="7"/>
        <v>7756</v>
      </c>
      <c r="H29" s="222">
        <f t="shared" si="8"/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52.390799999999999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9">C30*(E30-D30)</f>
        <v>1119.9450000000006</v>
      </c>
      <c r="G30" s="39">
        <f t="shared" ref="G30:G35" si="10">D30*C30</f>
        <v>5537.0549999999994</v>
      </c>
      <c r="H30" s="222">
        <f t="shared" ref="H30:H35" si="11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51.856200000000001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9"/>
        <v>884.94000000000028</v>
      </c>
      <c r="G31" s="39">
        <f t="shared" si="10"/>
        <v>7637.0599999999995</v>
      </c>
      <c r="H31" s="222">
        <f t="shared" si="11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51.321599999999997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9"/>
        <v>765.94000000000051</v>
      </c>
      <c r="G32" s="39">
        <f t="shared" si="10"/>
        <v>7568.0599999999995</v>
      </c>
      <c r="H32" s="222">
        <f t="shared" si="11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50.786999999999999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9"/>
        <v>1422.9000000000003</v>
      </c>
      <c r="G33" s="39">
        <f t="shared" si="10"/>
        <v>3080.1</v>
      </c>
      <c r="H33" s="222">
        <f t="shared" si="11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2"/>
        <v>50.252399999999994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9"/>
        <v>1568.3600000000001</v>
      </c>
      <c r="G34" s="39">
        <f t="shared" si="10"/>
        <v>751.14</v>
      </c>
      <c r="H34" s="222">
        <f t="shared" si="11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2"/>
        <v>49.717800000000004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9"/>
        <v>1850.8600000000001</v>
      </c>
      <c r="G35" s="39">
        <f t="shared" si="10"/>
        <v>751.14</v>
      </c>
      <c r="H35" s="222">
        <f t="shared" si="11"/>
        <v>2.4640679500492588</v>
      </c>
      <c r="I35" s="39"/>
      <c r="J35" s="39"/>
      <c r="K35" s="39"/>
      <c r="L35" s="39">
        <v>11.83</v>
      </c>
      <c r="O35" s="81">
        <v>0.92</v>
      </c>
      <c r="P35" s="81">
        <f t="shared" si="2"/>
        <v>49.183200000000006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48.648600000000002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2"/>
        <v>48.114000000000004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98" priority="35">
      <formula>F47&gt;0</formula>
    </cfRule>
    <cfRule type="expression" dxfId="1297" priority="36">
      <formula>F47&lt;0</formula>
    </cfRule>
  </conditionalFormatting>
  <conditionalFormatting sqref="Q7">
    <cfRule type="expression" dxfId="1296" priority="33">
      <formula>Q7&gt;0</formula>
    </cfRule>
    <cfRule type="expression" dxfId="1295" priority="34">
      <formula>Q7&lt;0</formula>
    </cfRule>
  </conditionalFormatting>
  <conditionalFormatting sqref="Q8">
    <cfRule type="expression" dxfId="1294" priority="31">
      <formula>Q8&gt;0</formula>
    </cfRule>
    <cfRule type="expression" dxfId="1293" priority="32">
      <formula>Q8&lt;0</formula>
    </cfRule>
  </conditionalFormatting>
  <conditionalFormatting sqref="F33:F46">
    <cfRule type="expression" dxfId="1292" priority="29">
      <formula>F33&gt;0</formula>
    </cfRule>
    <cfRule type="expression" dxfId="1291" priority="30">
      <formula>F33&lt;0</formula>
    </cfRule>
  </conditionalFormatting>
  <conditionalFormatting sqref="H33:H46">
    <cfRule type="expression" dxfId="1290" priority="27">
      <formula>H33&gt;0</formula>
    </cfRule>
    <cfRule type="expression" dxfId="1289" priority="28">
      <formula>H33&lt;0</formula>
    </cfRule>
  </conditionalFormatting>
  <conditionalFormatting sqref="Q10">
    <cfRule type="expression" dxfId="1288" priority="25">
      <formula>Q10&gt;0</formula>
    </cfRule>
    <cfRule type="expression" dxfId="1287" priority="26">
      <formula>Q10&lt;0</formula>
    </cfRule>
  </conditionalFormatting>
  <conditionalFormatting sqref="J25:J38">
    <cfRule type="expression" dxfId="1286" priority="23">
      <formula>J25&gt;0</formula>
    </cfRule>
    <cfRule type="expression" dxfId="1285" priority="24">
      <formula>J25&lt;0</formula>
    </cfRule>
  </conditionalFormatting>
  <conditionalFormatting sqref="K25:K38">
    <cfRule type="expression" dxfId="1284" priority="21">
      <formula>K25&gt;0</formula>
    </cfRule>
    <cfRule type="expression" dxfId="1283" priority="22">
      <formula>K25&lt;0</formula>
    </cfRule>
  </conditionalFormatting>
  <conditionalFormatting sqref="L25">
    <cfRule type="expression" dxfId="1282" priority="19">
      <formula>L25&gt;0</formula>
    </cfRule>
    <cfRule type="expression" dxfId="1281" priority="20">
      <formula>L25&lt;0</formula>
    </cfRule>
  </conditionalFormatting>
  <conditionalFormatting sqref="F89:F110">
    <cfRule type="expression" dxfId="1280" priority="17">
      <formula>F89&gt;0</formula>
    </cfRule>
    <cfRule type="expression" dxfId="1279" priority="18">
      <formula>F89&lt;0</formula>
    </cfRule>
  </conditionalFormatting>
  <conditionalFormatting sqref="H89:H110">
    <cfRule type="expression" dxfId="1278" priority="15">
      <formula>H89&gt;0</formula>
    </cfRule>
    <cfRule type="expression" dxfId="1277" priority="16">
      <formula>H89&lt;0</formula>
    </cfRule>
  </conditionalFormatting>
  <conditionalFormatting sqref="J89:J102">
    <cfRule type="expression" dxfId="1276" priority="13">
      <formula>J89&gt;0</formula>
    </cfRule>
    <cfRule type="expression" dxfId="1275" priority="14">
      <formula>J89&lt;0</formula>
    </cfRule>
  </conditionalFormatting>
  <conditionalFormatting sqref="K89:K102">
    <cfRule type="expression" dxfId="1274" priority="11">
      <formula>K89&gt;0</formula>
    </cfRule>
    <cfRule type="expression" dxfId="1273" priority="12">
      <formula>K89&lt;0</formula>
    </cfRule>
  </conditionalFormatting>
  <conditionalFormatting sqref="L89:L102">
    <cfRule type="expression" dxfId="1272" priority="9">
      <formula>L89&gt;0</formula>
    </cfRule>
    <cfRule type="expression" dxfId="1271" priority="10">
      <formula>L89&lt;0</formula>
    </cfRule>
  </conditionalFormatting>
  <conditionalFormatting sqref="F29:F32">
    <cfRule type="expression" dxfId="1270" priority="7">
      <formula>F29&gt;0</formula>
    </cfRule>
    <cfRule type="expression" dxfId="1269" priority="8">
      <formula>F29&lt;0</formula>
    </cfRule>
  </conditionalFormatting>
  <conditionalFormatting sqref="H29:H32">
    <cfRule type="expression" dxfId="1268" priority="5">
      <formula>H29&gt;0</formula>
    </cfRule>
    <cfRule type="expression" dxfId="1267" priority="6">
      <formula>H29&lt;0</formula>
    </cfRule>
  </conditionalFormatting>
  <conditionalFormatting sqref="F25:F28">
    <cfRule type="expression" dxfId="1266" priority="3">
      <formula>F25&gt;0</formula>
    </cfRule>
    <cfRule type="expression" dxfId="1265" priority="4">
      <formula>F25&lt;0</formula>
    </cfRule>
  </conditionalFormatting>
  <conditionalFormatting sqref="H25:H28">
    <cfRule type="expression" dxfId="1264" priority="1">
      <formula>H25&gt;0</formula>
    </cfRule>
    <cfRule type="expression" dxfId="126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944</v>
      </c>
      <c r="B2" s="434">
        <v>43161</v>
      </c>
      <c r="C2" s="7">
        <v>20</v>
      </c>
      <c r="D2" s="43">
        <v>198</v>
      </c>
      <c r="E2" s="43">
        <v>0</v>
      </c>
      <c r="F2" s="43">
        <f t="shared" ref="F2" si="0"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227.41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227.41</v>
      </c>
      <c r="R4" s="495">
        <v>-1.1000000000000001E-3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7.739325447429753E-3</v>
      </c>
      <c r="R11">
        <v>1.76</v>
      </c>
    </row>
    <row r="12" spans="1:21" x14ac:dyDescent="0.25">
      <c r="H12" s="70"/>
      <c r="O12" s="11" t="s">
        <v>995</v>
      </c>
      <c r="Q12" s="29"/>
    </row>
    <row r="13" spans="1:21" x14ac:dyDescent="0.25">
      <c r="H13" s="70"/>
      <c r="O13" s="11" t="s">
        <v>973</v>
      </c>
      <c r="Q13">
        <f>Q4/8.62</f>
        <v>26.381670533642694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669</v>
      </c>
      <c r="L24" s="220" t="s">
        <v>675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250.15100000000001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">O42*$Q$4</f>
        <v>247.87690000000001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"/>
        <v>245.6028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"/>
        <v>243.3287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"/>
        <v>241.05460000000002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"/>
        <v>238.78050000000002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"/>
        <v>236.50640000000001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"/>
        <v>234.23230000000001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"/>
        <v>231.95820000000001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"/>
        <v>229.6841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"/>
        <v>227.41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"/>
        <v>225.13589999999999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"/>
        <v>222.86179999999999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"/>
        <v>220.58769999999998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"/>
        <v>218.31359999999998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"/>
        <v>216.03949999999998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"/>
        <v>213.76539999999997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"/>
        <v>211.4913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"/>
        <v>209.21720000000002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"/>
        <v>206.94310000000002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"/>
        <v>204.66900000000001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62" priority="31">
      <formula>F47&gt;0</formula>
    </cfRule>
    <cfRule type="expression" dxfId="1261" priority="32">
      <formula>F47&lt;0</formula>
    </cfRule>
  </conditionalFormatting>
  <conditionalFormatting sqref="Q7">
    <cfRule type="expression" dxfId="1260" priority="29">
      <formula>Q7&gt;0</formula>
    </cfRule>
    <cfRule type="expression" dxfId="1259" priority="30">
      <formula>Q7&lt;0</formula>
    </cfRule>
  </conditionalFormatting>
  <conditionalFormatting sqref="Q8">
    <cfRule type="expression" dxfId="1258" priority="27">
      <formula>Q8&gt;0</formula>
    </cfRule>
    <cfRule type="expression" dxfId="1257" priority="28">
      <formula>Q8&lt;0</formula>
    </cfRule>
  </conditionalFormatting>
  <conditionalFormatting sqref="F30:F46">
    <cfRule type="expression" dxfId="1256" priority="25">
      <formula>F30&gt;0</formula>
    </cfRule>
    <cfRule type="expression" dxfId="1255" priority="26">
      <formula>F30&lt;0</formula>
    </cfRule>
  </conditionalFormatting>
  <conditionalFormatting sqref="H30:H46">
    <cfRule type="expression" dxfId="1254" priority="23">
      <formula>H30&gt;0</formula>
    </cfRule>
    <cfRule type="expression" dxfId="1253" priority="24">
      <formula>H30&lt;0</formula>
    </cfRule>
  </conditionalFormatting>
  <conditionalFormatting sqref="Q10">
    <cfRule type="expression" dxfId="1252" priority="21">
      <formula>Q10&gt;0</formula>
    </cfRule>
    <cfRule type="expression" dxfId="1251" priority="22">
      <formula>Q10&lt;0</formula>
    </cfRule>
  </conditionalFormatting>
  <conditionalFormatting sqref="J25:J38">
    <cfRule type="expression" dxfId="1250" priority="19">
      <formula>J25&gt;0</formula>
    </cfRule>
    <cfRule type="expression" dxfId="1249" priority="20">
      <formula>J25&lt;0</formula>
    </cfRule>
  </conditionalFormatting>
  <conditionalFormatting sqref="K25:K38">
    <cfRule type="expression" dxfId="1248" priority="17">
      <formula>K25&gt;0</formula>
    </cfRule>
    <cfRule type="expression" dxfId="1247" priority="18">
      <formula>K25&lt;0</formula>
    </cfRule>
  </conditionalFormatting>
  <conditionalFormatting sqref="L25:L38">
    <cfRule type="expression" dxfId="1246" priority="15">
      <formula>L25&gt;0</formula>
    </cfRule>
    <cfRule type="expression" dxfId="1245" priority="16">
      <formula>L25&lt;0</formula>
    </cfRule>
  </conditionalFormatting>
  <conditionalFormatting sqref="F89:F110">
    <cfRule type="expression" dxfId="1244" priority="13">
      <formula>F89&gt;0</formula>
    </cfRule>
    <cfRule type="expression" dxfId="1243" priority="14">
      <formula>F89&lt;0</formula>
    </cfRule>
  </conditionalFormatting>
  <conditionalFormatting sqref="H89:H110">
    <cfRule type="expression" dxfId="1242" priority="11">
      <formula>H89&gt;0</formula>
    </cfRule>
    <cfRule type="expression" dxfId="1241" priority="12">
      <formula>H89&lt;0</formula>
    </cfRule>
  </conditionalFormatting>
  <conditionalFormatting sqref="J89:J102">
    <cfRule type="expression" dxfId="1240" priority="9">
      <formula>J89&gt;0</formula>
    </cfRule>
    <cfRule type="expression" dxfId="1239" priority="10">
      <formula>J89&lt;0</formula>
    </cfRule>
  </conditionalFormatting>
  <conditionalFormatting sqref="K89:K102">
    <cfRule type="expression" dxfId="1238" priority="7">
      <formula>K89&gt;0</formula>
    </cfRule>
    <cfRule type="expression" dxfId="1237" priority="8">
      <formula>K89&lt;0</formula>
    </cfRule>
  </conditionalFormatting>
  <conditionalFormatting sqref="L89:L102">
    <cfRule type="expression" dxfId="1236" priority="5">
      <formula>L89&gt;0</formula>
    </cfRule>
    <cfRule type="expression" dxfId="1235" priority="6">
      <formula>L89&lt;0</formula>
    </cfRule>
  </conditionalFormatting>
  <conditionalFormatting sqref="F25:F29">
    <cfRule type="expression" dxfId="1234" priority="3">
      <formula>F25&gt;0</formula>
    </cfRule>
    <cfRule type="expression" dxfId="1233" priority="4">
      <formula>F25&lt;0</formula>
    </cfRule>
  </conditionalFormatting>
  <conditionalFormatting sqref="H25:H29">
    <cfRule type="expression" dxfId="1232" priority="1">
      <formula>H25&gt;0</formula>
    </cfRule>
    <cfRule type="expression" dxfId="123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941</v>
      </c>
      <c r="B2" s="434">
        <v>43151</v>
      </c>
      <c r="C2" s="7">
        <v>50</v>
      </c>
      <c r="D2" s="43">
        <v>68.22</v>
      </c>
      <c r="E2" s="43">
        <v>0</v>
      </c>
      <c r="F2" s="43">
        <f t="shared" ref="F2:F3" si="0"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 t="shared" si="0"/>
        <v>3055</v>
      </c>
      <c r="G3" s="72"/>
      <c r="H3" s="176"/>
      <c r="I3" s="3"/>
      <c r="J3" s="3"/>
      <c r="K3" s="3"/>
      <c r="L3" s="72">
        <v>43266</v>
      </c>
      <c r="M3" s="7">
        <v>62.5</v>
      </c>
      <c r="O3" s="11" t="s">
        <v>58</v>
      </c>
      <c r="Q3" s="221">
        <f>IF(Q2=0, Q4, (F18-K18-M18)/Q2)</f>
        <v>63.97</v>
      </c>
      <c r="T3" s="1">
        <v>43223</v>
      </c>
      <c r="U3" t="s">
        <v>1054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63.97</v>
      </c>
      <c r="R4" s="495">
        <v>-7.1000000000000004E-3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43248</v>
      </c>
      <c r="U5" t="s">
        <v>1114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77.670000000000073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77.670000000000073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3.9080819133969047E-2</v>
      </c>
      <c r="R11">
        <f>0.625</f>
        <v>0.625</v>
      </c>
    </row>
    <row r="12" spans="1:21" x14ac:dyDescent="0.25">
      <c r="H12" s="70"/>
      <c r="O12" s="11" t="s">
        <v>1010</v>
      </c>
      <c r="Q12" s="1"/>
    </row>
    <row r="13" spans="1:21" x14ac:dyDescent="0.25">
      <c r="H13" s="70"/>
      <c r="O13" s="11" t="s">
        <v>973</v>
      </c>
      <c r="Q13">
        <f>Q4/3.79</f>
        <v>16.878627968337732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100</v>
      </c>
      <c r="I18" s="18"/>
      <c r="J18" s="18"/>
      <c r="K18" s="18">
        <f>SUM(K2:K5)</f>
        <v>6449.92</v>
      </c>
      <c r="L18" s="14"/>
      <c r="M18" s="18">
        <f>SUM(M2:M10)</f>
        <v>93.75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6466</v>
      </c>
      <c r="G19" s="343"/>
      <c r="H19" s="343">
        <f>SumByColor($A$19,H2:H17)</f>
        <v>100</v>
      </c>
      <c r="I19" s="343"/>
      <c r="J19" s="343"/>
      <c r="K19" s="344">
        <f>SumByColor($A$19,K2:K17)</f>
        <v>6450</v>
      </c>
      <c r="L19" s="343"/>
      <c r="M19" s="344">
        <f>SumByColor($A$19,M2:M17)</f>
        <v>94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669</v>
      </c>
      <c r="L24" s="220" t="s">
        <v>973</v>
      </c>
    </row>
    <row r="25" spans="1:13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2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2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2">
        <f t="shared" ref="H27" si="9">(E27-D27)/D27</f>
        <v>-6.7096623800458374E-2</v>
      </c>
      <c r="I27" s="39"/>
      <c r="J27" s="39"/>
      <c r="K27" s="39"/>
      <c r="L27" s="155"/>
    </row>
    <row r="28" spans="1:13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2">
        <f t="shared" ref="H28" si="12">(E28-D28)/D28</f>
        <v>-4.192082054469868E-2</v>
      </c>
      <c r="I28" s="39"/>
      <c r="J28" s="39"/>
      <c r="K28" s="39"/>
      <c r="L28" s="155"/>
    </row>
    <row r="29" spans="1:13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ref="F29:F33" si="13">C29*(E29-D29)</f>
        <v>-364.74999999999937</v>
      </c>
      <c r="G29" s="39">
        <f t="shared" ref="G29:G33" si="14">D29*C29</f>
        <v>6434.75</v>
      </c>
      <c r="H29" s="222">
        <f t="shared" ref="H29:H33" si="15">(E29-D29)/D29</f>
        <v>-5.6684408873693526E-2</v>
      </c>
      <c r="I29" s="39"/>
      <c r="J29" s="39"/>
      <c r="K29" s="39"/>
      <c r="L29" s="155"/>
    </row>
    <row r="30" spans="1:13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13"/>
        <v>-1014.7499999999993</v>
      </c>
      <c r="G30" s="39">
        <f t="shared" si="14"/>
        <v>6434.75</v>
      </c>
      <c r="H30" s="222">
        <f t="shared" si="15"/>
        <v>-0.15769843428260608</v>
      </c>
      <c r="I30" s="39"/>
      <c r="J30" s="39"/>
      <c r="K30" s="39"/>
      <c r="L30" s="155"/>
    </row>
    <row r="31" spans="1:13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13"/>
        <v>-530.99999999999955</v>
      </c>
      <c r="G31" s="39">
        <f t="shared" si="14"/>
        <v>6434.9999999999991</v>
      </c>
      <c r="H31" s="222">
        <f t="shared" si="15"/>
        <v>-8.2517482517482449E-2</v>
      </c>
      <c r="I31" s="39"/>
      <c r="J31" s="39"/>
      <c r="K31" s="39"/>
      <c r="L31" s="155"/>
    </row>
    <row r="32" spans="1:13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13"/>
        <v>-789.74999999999932</v>
      </c>
      <c r="G32" s="39">
        <f t="shared" si="14"/>
        <v>6434.75</v>
      </c>
      <c r="H32" s="222">
        <f t="shared" si="15"/>
        <v>-0.12273204087182865</v>
      </c>
      <c r="I32" s="39"/>
      <c r="J32" s="39"/>
      <c r="K32" s="39"/>
      <c r="L32" s="155"/>
    </row>
    <row r="33" spans="1:17" x14ac:dyDescent="0.25">
      <c r="A33">
        <v>100</v>
      </c>
      <c r="B33" s="184">
        <v>43266</v>
      </c>
      <c r="C33" s="10">
        <v>100</v>
      </c>
      <c r="D33" s="39">
        <v>63.722499999999997</v>
      </c>
      <c r="E33" s="39">
        <v>61.61</v>
      </c>
      <c r="F33" s="39">
        <f t="shared" si="13"/>
        <v>-211.24999999999972</v>
      </c>
      <c r="G33" s="39">
        <f t="shared" si="14"/>
        <v>6372.25</v>
      </c>
      <c r="H33" s="222">
        <f t="shared" si="15"/>
        <v>-3.3151555572992229E-2</v>
      </c>
      <c r="I33" s="39"/>
      <c r="J33" s="39"/>
      <c r="K33" s="39"/>
      <c r="L33" s="39">
        <v>16.2559</v>
      </c>
    </row>
    <row r="34" spans="1:17" x14ac:dyDescent="0.25">
      <c r="B34" s="184">
        <v>43287</v>
      </c>
      <c r="C34" s="10">
        <v>0</v>
      </c>
      <c r="D34" s="39"/>
      <c r="E34" s="39"/>
      <c r="F34" s="39">
        <v>77.67</v>
      </c>
      <c r="G34" s="39"/>
      <c r="H34" s="222"/>
      <c r="I34" s="39"/>
      <c r="J34" s="39"/>
      <c r="K34" s="39"/>
      <c r="L34" s="727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70.367000000000004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6">O42*$Q$4</f>
        <v>69.7273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6"/>
        <v>69.087600000000009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6"/>
        <v>68.447900000000004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6"/>
        <v>67.808199999999999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6"/>
        <v>67.168499999999995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6"/>
        <v>66.528800000000004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6"/>
        <v>65.889099999999999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6"/>
        <v>65.249399999999994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6"/>
        <v>64.609700000000004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6"/>
        <v>63.97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6"/>
        <v>63.330300000000001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6"/>
        <v>62.690599999999996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6"/>
        <v>62.050899999999999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6"/>
        <v>61.411199999999994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6"/>
        <v>60.771499999999996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6"/>
        <v>60.131799999999998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6"/>
        <v>59.492100000000001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6"/>
        <v>58.852400000000003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6"/>
        <v>58.212699999999998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6"/>
        <v>57.573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30" priority="31">
      <formula>F47&gt;0</formula>
    </cfRule>
    <cfRule type="expression" dxfId="1229" priority="32">
      <formula>F47&lt;0</formula>
    </cfRule>
  </conditionalFormatting>
  <conditionalFormatting sqref="Q7">
    <cfRule type="expression" dxfId="1228" priority="29">
      <formula>Q7&gt;0</formula>
    </cfRule>
    <cfRule type="expression" dxfId="1227" priority="30">
      <formula>Q7&lt;0</formula>
    </cfRule>
  </conditionalFormatting>
  <conditionalFormatting sqref="Q8">
    <cfRule type="expression" dxfId="1226" priority="27">
      <formula>Q8&gt;0</formula>
    </cfRule>
    <cfRule type="expression" dxfId="1225" priority="28">
      <formula>Q8&lt;0</formula>
    </cfRule>
  </conditionalFormatting>
  <conditionalFormatting sqref="F30:F46">
    <cfRule type="expression" dxfId="1224" priority="25">
      <formula>F30&gt;0</formula>
    </cfRule>
    <cfRule type="expression" dxfId="1223" priority="26">
      <formula>F30&lt;0</formula>
    </cfRule>
  </conditionalFormatting>
  <conditionalFormatting sqref="H30:H46">
    <cfRule type="expression" dxfId="1222" priority="23">
      <formula>H30&gt;0</formula>
    </cfRule>
    <cfRule type="expression" dxfId="1221" priority="24">
      <formula>H30&lt;0</formula>
    </cfRule>
  </conditionalFormatting>
  <conditionalFormatting sqref="Q10">
    <cfRule type="expression" dxfId="1220" priority="21">
      <formula>Q10&gt;0</formula>
    </cfRule>
    <cfRule type="expression" dxfId="1219" priority="22">
      <formula>Q10&lt;0</formula>
    </cfRule>
  </conditionalFormatting>
  <conditionalFormatting sqref="J25:J38">
    <cfRule type="expression" dxfId="1218" priority="19">
      <formula>J25&gt;0</formula>
    </cfRule>
    <cfRule type="expression" dxfId="1217" priority="20">
      <formula>J25&lt;0</formula>
    </cfRule>
  </conditionalFormatting>
  <conditionalFormatting sqref="K25:K38">
    <cfRule type="expression" dxfId="1216" priority="17">
      <formula>K25&gt;0</formula>
    </cfRule>
    <cfRule type="expression" dxfId="1215" priority="18">
      <formula>K25&lt;0</formula>
    </cfRule>
  </conditionalFormatting>
  <conditionalFormatting sqref="L25:L32 L34:L38">
    <cfRule type="expression" dxfId="1214" priority="15">
      <formula>L25&gt;0</formula>
    </cfRule>
    <cfRule type="expression" dxfId="1213" priority="16">
      <formula>L25&lt;0</formula>
    </cfRule>
  </conditionalFormatting>
  <conditionalFormatting sqref="F89:F110">
    <cfRule type="expression" dxfId="1212" priority="13">
      <formula>F89&gt;0</formula>
    </cfRule>
    <cfRule type="expression" dxfId="1211" priority="14">
      <formula>F89&lt;0</formula>
    </cfRule>
  </conditionalFormatting>
  <conditionalFormatting sqref="H89:H110">
    <cfRule type="expression" dxfId="1210" priority="11">
      <formula>H89&gt;0</formula>
    </cfRule>
    <cfRule type="expression" dxfId="1209" priority="12">
      <formula>H89&lt;0</formula>
    </cfRule>
  </conditionalFormatting>
  <conditionalFormatting sqref="J89:J102">
    <cfRule type="expression" dxfId="1208" priority="9">
      <formula>J89&gt;0</formula>
    </cfRule>
    <cfRule type="expression" dxfId="1207" priority="10">
      <formula>J89&lt;0</formula>
    </cfRule>
  </conditionalFormatting>
  <conditionalFormatting sqref="K89:K102">
    <cfRule type="expression" dxfId="1206" priority="7">
      <formula>K89&gt;0</formula>
    </cfRule>
    <cfRule type="expression" dxfId="1205" priority="8">
      <formula>K89&lt;0</formula>
    </cfRule>
  </conditionalFormatting>
  <conditionalFormatting sqref="L89:L102">
    <cfRule type="expression" dxfId="1204" priority="5">
      <formula>L89&gt;0</formula>
    </cfRule>
    <cfRule type="expression" dxfId="1203" priority="6">
      <formula>L89&lt;0</formula>
    </cfRule>
  </conditionalFormatting>
  <conditionalFormatting sqref="F25:F29">
    <cfRule type="expression" dxfId="1202" priority="3">
      <formula>F25&gt;0</formula>
    </cfRule>
    <cfRule type="expression" dxfId="1201" priority="4">
      <formula>F25&lt;0</formula>
    </cfRule>
  </conditionalFormatting>
  <conditionalFormatting sqref="H25:H29">
    <cfRule type="expression" dxfId="1200" priority="1">
      <formula>H25&gt;0</formula>
    </cfRule>
    <cfRule type="expression" dxfId="119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921</v>
      </c>
      <c r="B2" s="434">
        <v>43137</v>
      </c>
      <c r="C2" s="7">
        <v>200</v>
      </c>
      <c r="D2" s="43">
        <v>30.58</v>
      </c>
      <c r="E2" s="43">
        <v>0</v>
      </c>
      <c r="F2" s="43">
        <f t="shared" ref="F2:F5" si="0"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926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 t="shared" si="0"/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36.409999999999997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 t="shared" si="0"/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36.409999999999997</v>
      </c>
      <c r="R4" s="495">
        <v>-7.9000000000000008E-3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 t="shared" si="0"/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7.2507552870090641E-2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1" t="s">
        <v>78</v>
      </c>
      <c r="P16" s="851"/>
    </row>
    <row r="17" spans="1:16" ht="15.75" thickTop="1" x14ac:dyDescent="0.25">
      <c r="O17" s="81">
        <v>1.1000000000000001</v>
      </c>
      <c r="P17" s="81">
        <f>O17*$Q$4</f>
        <v>40.051000000000002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1">O18*$Q$4</f>
        <v>39.686900000000001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1"/>
        <v>39.322800000000001</v>
      </c>
    </row>
    <row r="20" spans="1:16" x14ac:dyDescent="0.25">
      <c r="O20" s="81">
        <v>1.07</v>
      </c>
      <c r="P20" s="81">
        <f t="shared" si="1"/>
        <v>38.9587</v>
      </c>
    </row>
    <row r="21" spans="1:16" x14ac:dyDescent="0.25">
      <c r="O21" s="81">
        <v>1.06</v>
      </c>
      <c r="P21" s="81">
        <f t="shared" si="1"/>
        <v>38.5946</v>
      </c>
    </row>
    <row r="22" spans="1:16" x14ac:dyDescent="0.25">
      <c r="O22" s="81">
        <v>1.05</v>
      </c>
      <c r="P22" s="81">
        <f t="shared" si="1"/>
        <v>38.230499999999999</v>
      </c>
    </row>
    <row r="23" spans="1:16" x14ac:dyDescent="0.25">
      <c r="O23" s="81">
        <v>1.04</v>
      </c>
      <c r="P23" s="81">
        <f t="shared" si="1"/>
        <v>37.866399999999999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669</v>
      </c>
      <c r="L24" s="220" t="s">
        <v>675</v>
      </c>
      <c r="O24" s="81">
        <v>1.03</v>
      </c>
      <c r="P24" s="81">
        <f t="shared" si="1"/>
        <v>37.502299999999998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2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37.138199999999998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2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36.774099999999997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2">
        <f t="shared" ref="H27" si="10">(E27-D27)/D27</f>
        <v>2.3504134383748983E-2</v>
      </c>
      <c r="I27" s="39"/>
      <c r="J27" s="39"/>
      <c r="K27" s="39"/>
      <c r="L27" s="155"/>
      <c r="O27" s="81">
        <v>1</v>
      </c>
      <c r="P27" s="81">
        <f t="shared" si="1"/>
        <v>36.409999999999997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2">
        <f t="shared" ref="H28" si="13">(E28-D28)/D28</f>
        <v>9.4308943089430625E-3</v>
      </c>
      <c r="I28" s="39"/>
      <c r="J28" s="39"/>
      <c r="K28" s="39"/>
      <c r="L28" s="155"/>
      <c r="O28" s="81">
        <v>0.99</v>
      </c>
      <c r="P28" s="81">
        <f t="shared" si="1"/>
        <v>36.045899999999996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2">
        <f t="shared" ref="H29" si="16">(E29-D29)/D29</f>
        <v>-2.7642276422764275E-2</v>
      </c>
      <c r="I29" s="39"/>
      <c r="J29" s="39"/>
      <c r="K29" s="39"/>
      <c r="L29" s="155"/>
      <c r="O29" s="81">
        <v>0.98</v>
      </c>
      <c r="P29" s="81">
        <f t="shared" si="1"/>
        <v>35.681799999999996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2">
        <f t="shared" ref="H30" si="19">(E30-D30)/D30</f>
        <v>-1.9512195121951265E-2</v>
      </c>
      <c r="I30" s="39"/>
      <c r="J30" s="39"/>
      <c r="K30" s="39"/>
      <c r="L30" s="155"/>
      <c r="O30" s="81">
        <v>0.97</v>
      </c>
      <c r="P30" s="81">
        <f t="shared" si="1"/>
        <v>35.317699999999995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20">C31*(E31-D31)</f>
        <v>269.44000000000017</v>
      </c>
      <c r="G31" s="39">
        <f t="shared" ref="G31:G36" si="21">D31*C31</f>
        <v>12234.560000000001</v>
      </c>
      <c r="H31" s="222">
        <f t="shared" ref="H31:H36" si="22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1"/>
        <v>34.953599999999994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2">
        <f t="shared" si="22"/>
        <v>7.8203671995524429E-2</v>
      </c>
      <c r="I32" s="39"/>
      <c r="J32" s="39"/>
      <c r="K32" s="39"/>
      <c r="L32" s="155"/>
      <c r="O32" s="81">
        <v>0.95</v>
      </c>
      <c r="P32" s="81">
        <f t="shared" si="1"/>
        <v>34.589499999999994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20"/>
        <v>377.30999999999995</v>
      </c>
      <c r="G33" s="39">
        <f t="shared" si="21"/>
        <v>9012.69</v>
      </c>
      <c r="H33" s="222">
        <f t="shared" si="22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1"/>
        <v>34.225399999999993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20"/>
        <v>497.22000000000008</v>
      </c>
      <c r="G34" s="39">
        <f t="shared" si="21"/>
        <v>5842.78</v>
      </c>
      <c r="H34" s="222">
        <f t="shared" si="22"/>
        <v>8.5099901074488532E-2</v>
      </c>
      <c r="I34" s="39"/>
      <c r="J34" s="39"/>
      <c r="K34" s="39"/>
      <c r="L34" s="155"/>
      <c r="O34" s="81">
        <v>0.93</v>
      </c>
      <c r="P34" s="81">
        <f t="shared" si="1"/>
        <v>33.8613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20"/>
        <v>607.05999999999995</v>
      </c>
      <c r="G35" s="39">
        <f t="shared" si="21"/>
        <v>5774.9400000000005</v>
      </c>
      <c r="H35" s="222">
        <f t="shared" si="22"/>
        <v>0.10511970687141337</v>
      </c>
      <c r="I35" s="39"/>
      <c r="J35" s="39"/>
      <c r="K35" s="39"/>
      <c r="L35" s="155"/>
      <c r="O35" s="81">
        <v>0.92</v>
      </c>
      <c r="P35" s="81">
        <f t="shared" si="1"/>
        <v>33.497199999999999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20"/>
        <v>795.00000000000023</v>
      </c>
      <c r="G36" s="39">
        <f t="shared" si="21"/>
        <v>2490</v>
      </c>
      <c r="H36" s="222">
        <f t="shared" si="22"/>
        <v>0.31927710843373508</v>
      </c>
      <c r="I36" s="39"/>
      <c r="J36" s="39"/>
      <c r="K36" s="39"/>
      <c r="L36" s="39"/>
      <c r="O36" s="81">
        <v>0.91</v>
      </c>
      <c r="P36" s="81">
        <f t="shared" si="1"/>
        <v>33.133099999999999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32.768999999999998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98" priority="35">
      <formula>F47&gt;0</formula>
    </cfRule>
    <cfRule type="expression" dxfId="1197" priority="36">
      <formula>F47&lt;0</formula>
    </cfRule>
  </conditionalFormatting>
  <conditionalFormatting sqref="Q7">
    <cfRule type="expression" dxfId="1196" priority="33">
      <formula>Q7&gt;0</formula>
    </cfRule>
    <cfRule type="expression" dxfId="1195" priority="34">
      <formula>Q7&lt;0</formula>
    </cfRule>
  </conditionalFormatting>
  <conditionalFormatting sqref="Q8">
    <cfRule type="expression" dxfId="1194" priority="31">
      <formula>Q8&gt;0</formula>
    </cfRule>
    <cfRule type="expression" dxfId="1193" priority="32">
      <formula>Q8&lt;0</formula>
    </cfRule>
  </conditionalFormatting>
  <conditionalFormatting sqref="F32:F46">
    <cfRule type="expression" dxfId="1192" priority="29">
      <formula>F32&gt;0</formula>
    </cfRule>
    <cfRule type="expression" dxfId="1191" priority="30">
      <formula>F32&lt;0</formula>
    </cfRule>
  </conditionalFormatting>
  <conditionalFormatting sqref="H32:H46">
    <cfRule type="expression" dxfId="1190" priority="27">
      <formula>H32&gt;0</formula>
    </cfRule>
    <cfRule type="expression" dxfId="1189" priority="28">
      <formula>H32&lt;0</formula>
    </cfRule>
  </conditionalFormatting>
  <conditionalFormatting sqref="Q10">
    <cfRule type="expression" dxfId="1188" priority="25">
      <formula>Q10&gt;0</formula>
    </cfRule>
    <cfRule type="expression" dxfId="1187" priority="26">
      <formula>Q10&lt;0</formula>
    </cfRule>
  </conditionalFormatting>
  <conditionalFormatting sqref="J25:J38">
    <cfRule type="expression" dxfId="1186" priority="23">
      <formula>J25&gt;0</formula>
    </cfRule>
    <cfRule type="expression" dxfId="1185" priority="24">
      <formula>J25&lt;0</formula>
    </cfRule>
  </conditionalFormatting>
  <conditionalFormatting sqref="K25:K38">
    <cfRule type="expression" dxfId="1184" priority="21">
      <formula>K25&gt;0</formula>
    </cfRule>
    <cfRule type="expression" dxfId="1183" priority="22">
      <formula>K25&lt;0</formula>
    </cfRule>
  </conditionalFormatting>
  <conditionalFormatting sqref="L25:L38">
    <cfRule type="expression" dxfId="1182" priority="19">
      <formula>L25&gt;0</formula>
    </cfRule>
    <cfRule type="expression" dxfId="1181" priority="20">
      <formula>L25&lt;0</formula>
    </cfRule>
  </conditionalFormatting>
  <conditionalFormatting sqref="F89:F110">
    <cfRule type="expression" dxfId="1180" priority="17">
      <formula>F89&gt;0</formula>
    </cfRule>
    <cfRule type="expression" dxfId="1179" priority="18">
      <formula>F89&lt;0</formula>
    </cfRule>
  </conditionalFormatting>
  <conditionalFormatting sqref="H89:H110">
    <cfRule type="expression" dxfId="1178" priority="15">
      <formula>H89&gt;0</formula>
    </cfRule>
    <cfRule type="expression" dxfId="1177" priority="16">
      <formula>H89&lt;0</formula>
    </cfRule>
  </conditionalFormatting>
  <conditionalFormatting sqref="J89:J102">
    <cfRule type="expression" dxfId="1176" priority="13">
      <formula>J89&gt;0</formula>
    </cfRule>
    <cfRule type="expression" dxfId="1175" priority="14">
      <formula>J89&lt;0</formula>
    </cfRule>
  </conditionalFormatting>
  <conditionalFormatting sqref="K89:K102">
    <cfRule type="expression" dxfId="1174" priority="11">
      <formula>K89&gt;0</formula>
    </cfRule>
    <cfRule type="expression" dxfId="1173" priority="12">
      <formula>K89&lt;0</formula>
    </cfRule>
  </conditionalFormatting>
  <conditionalFormatting sqref="L89:L102">
    <cfRule type="expression" dxfId="1172" priority="9">
      <formula>L89&gt;0</formula>
    </cfRule>
    <cfRule type="expression" dxfId="1171" priority="10">
      <formula>L89&lt;0</formula>
    </cfRule>
  </conditionalFormatting>
  <conditionalFormatting sqref="F25:F28">
    <cfRule type="expression" dxfId="1170" priority="7">
      <formula>F25&gt;0</formula>
    </cfRule>
    <cfRule type="expression" dxfId="1169" priority="8">
      <formula>F25&lt;0</formula>
    </cfRule>
  </conditionalFormatting>
  <conditionalFormatting sqref="H25:H28">
    <cfRule type="expression" dxfId="1168" priority="5">
      <formula>H25&gt;0</formula>
    </cfRule>
    <cfRule type="expression" dxfId="1167" priority="6">
      <formula>H25&lt;0</formula>
    </cfRule>
  </conditionalFormatting>
  <conditionalFormatting sqref="F29:F31">
    <cfRule type="expression" dxfId="1166" priority="3">
      <formula>F29&gt;0</formula>
    </cfRule>
    <cfRule type="expression" dxfId="1165" priority="4">
      <formula>F29&lt;0</formula>
    </cfRule>
  </conditionalFormatting>
  <conditionalFormatting sqref="H29:H31">
    <cfRule type="expression" dxfId="1164" priority="1">
      <formula>H29&gt;0</formula>
    </cfRule>
    <cfRule type="expression" dxfId="1163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918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0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100</v>
      </c>
      <c r="T2" s="1" t="s">
        <v>963</v>
      </c>
      <c r="U2" t="s">
        <v>1076</v>
      </c>
    </row>
    <row r="3" spans="1:21" x14ac:dyDescent="0.25">
      <c r="A3" s="22" t="s">
        <v>71</v>
      </c>
      <c r="B3" s="434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ref="K3:K4" si="1">H3*I3-J3</f>
        <v>6499.92</v>
      </c>
      <c r="L3" s="4"/>
      <c r="M3" s="4"/>
      <c r="O3" s="11" t="s">
        <v>58</v>
      </c>
      <c r="Q3" s="221">
        <f>IF(Q2=0, Q4, (F18-K18-M18)/Q2)</f>
        <v>126.87489999999998</v>
      </c>
      <c r="T3" s="1"/>
    </row>
    <row r="4" spans="1:21" x14ac:dyDescent="0.25">
      <c r="B4" s="7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127.84990000000001</v>
      </c>
      <c r="R4" s="495">
        <v>-5.0000000000000001E-3</v>
      </c>
      <c r="T4" s="770">
        <v>43193</v>
      </c>
      <c r="U4" s="30" t="s">
        <v>970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12784.99</v>
      </c>
      <c r="U5" s="475" t="s">
        <v>1001</v>
      </c>
    </row>
    <row r="6" spans="1:21" x14ac:dyDescent="0.25">
      <c r="B6" s="47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12687.489999999998</v>
      </c>
    </row>
    <row r="7" spans="1:21" x14ac:dyDescent="0.25">
      <c r="B7" s="474">
        <v>43284</v>
      </c>
      <c r="C7" s="4">
        <v>20</v>
      </c>
      <c r="D7" s="3">
        <v>132.69999999999999</v>
      </c>
      <c r="E7" s="3">
        <v>0</v>
      </c>
      <c r="F7" s="3">
        <f t="shared" si="0"/>
        <v>2654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97.500000000001819</v>
      </c>
      <c r="R7">
        <v>30</v>
      </c>
      <c r="T7" s="1">
        <v>43221</v>
      </c>
      <c r="U7" s="821" t="s">
        <v>1041</v>
      </c>
    </row>
    <row r="8" spans="1:21" x14ac:dyDescent="0.25">
      <c r="B8" s="474">
        <v>43286</v>
      </c>
      <c r="C8" s="4">
        <v>20</v>
      </c>
      <c r="D8" s="3">
        <v>127.58</v>
      </c>
      <c r="E8" s="3">
        <v>0</v>
      </c>
      <c r="F8" s="3">
        <f t="shared" si="0"/>
        <v>2551.6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97.500000000001819</v>
      </c>
      <c r="U8" t="s">
        <v>1042</v>
      </c>
    </row>
    <row r="9" spans="1:21" x14ac:dyDescent="0.25">
      <c r="B9" s="474">
        <v>43286</v>
      </c>
      <c r="C9" s="4">
        <v>10</v>
      </c>
      <c r="D9" s="3">
        <v>126.28</v>
      </c>
      <c r="E9" s="3">
        <v>0</v>
      </c>
      <c r="F9" s="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7.6847351209736389E-3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4.0672695090101752E-3</v>
      </c>
      <c r="R11">
        <v>0.13</v>
      </c>
      <c r="T11" s="1">
        <v>43228</v>
      </c>
      <c r="U11" t="s">
        <v>1075</v>
      </c>
    </row>
    <row r="12" spans="1:21" x14ac:dyDescent="0.25">
      <c r="H12" s="70"/>
      <c r="O12" s="11" t="s">
        <v>946</v>
      </c>
      <c r="Q12" s="1" t="s">
        <v>1132</v>
      </c>
    </row>
    <row r="13" spans="1:21" x14ac:dyDescent="0.25">
      <c r="H13" s="70"/>
      <c r="O13" s="11" t="s">
        <v>973</v>
      </c>
      <c r="Q13">
        <f>Q4/8.62</f>
        <v>14.831774941995361</v>
      </c>
      <c r="T13" s="1">
        <v>43260</v>
      </c>
      <c r="U13" t="s">
        <v>1127</v>
      </c>
    </row>
    <row r="14" spans="1:21" x14ac:dyDescent="0.25">
      <c r="H14" s="70"/>
    </row>
    <row r="15" spans="1:21" x14ac:dyDescent="0.25">
      <c r="H15" s="70"/>
      <c r="T15" s="1">
        <v>43263</v>
      </c>
      <c r="U15" t="s">
        <v>1129</v>
      </c>
    </row>
    <row r="16" spans="1:21" x14ac:dyDescent="0.25">
      <c r="H16" s="70"/>
    </row>
    <row r="17" spans="1:21" x14ac:dyDescent="0.25">
      <c r="T17" s="1">
        <v>43264</v>
      </c>
      <c r="U17" t="s">
        <v>1133</v>
      </c>
    </row>
    <row r="18" spans="1:21" ht="20.25" thickBot="1" x14ac:dyDescent="0.35">
      <c r="A18" s="31" t="s">
        <v>81</v>
      </c>
      <c r="B18" s="14"/>
      <c r="C18" s="14">
        <f>SUM(C2:C10)</f>
        <v>190</v>
      </c>
      <c r="D18" s="18"/>
      <c r="E18" s="18"/>
      <c r="F18" s="18">
        <f>SUM(F2:F10)</f>
        <v>24943.999999999996</v>
      </c>
      <c r="G18" s="14"/>
      <c r="H18" s="71">
        <f>SUM(H2:H5)</f>
        <v>90</v>
      </c>
      <c r="I18" s="18"/>
      <c r="J18" s="18"/>
      <c r="K18" s="18">
        <f>SUM(K2:K5)</f>
        <v>12250.009999999998</v>
      </c>
      <c r="L18" s="14"/>
      <c r="M18" s="18">
        <f>SUM(M2:M10)</f>
        <v>6.5</v>
      </c>
      <c r="O18" s="777" t="s">
        <v>78</v>
      </c>
      <c r="P18" s="777"/>
      <c r="U18" t="s">
        <v>1134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11414</v>
      </c>
      <c r="G19" s="343"/>
      <c r="H19" s="343">
        <f>SumByColor($A$19,H2:H17)</f>
        <v>90</v>
      </c>
      <c r="I19" s="343"/>
      <c r="J19" s="343"/>
      <c r="K19" s="344">
        <f>SumByColor($A$19,K2:K17)</f>
        <v>12250</v>
      </c>
      <c r="L19" s="343"/>
      <c r="M19" s="344">
        <f>SumByColor($A$19,M2:M17)</f>
        <v>6</v>
      </c>
      <c r="O19" s="81">
        <v>1.1000000000000001</v>
      </c>
      <c r="P19" s="81">
        <f>O19*$Q$4</f>
        <v>140.63489000000001</v>
      </c>
    </row>
    <row r="20" spans="1:21" x14ac:dyDescent="0.25">
      <c r="O20" s="81">
        <v>1.0900000000000001</v>
      </c>
      <c r="P20" s="81">
        <f t="shared" ref="P20:P39" si="2">O20*$Q$4</f>
        <v>139.356391</v>
      </c>
      <c r="T20" s="1">
        <v>43279</v>
      </c>
      <c r="U20" t="s">
        <v>1151</v>
      </c>
    </row>
    <row r="21" spans="1:21" x14ac:dyDescent="0.25">
      <c r="O21" s="81">
        <v>1.08</v>
      </c>
      <c r="P21" s="81">
        <f t="shared" si="2"/>
        <v>138.07789200000002</v>
      </c>
    </row>
    <row r="22" spans="1:21" x14ac:dyDescent="0.25">
      <c r="O22" s="81">
        <v>1.07</v>
      </c>
      <c r="P22" s="81">
        <f t="shared" si="2"/>
        <v>136.79939300000001</v>
      </c>
    </row>
    <row r="23" spans="1:21" x14ac:dyDescent="0.25">
      <c r="O23" s="81">
        <v>1.06</v>
      </c>
      <c r="P23" s="81">
        <f t="shared" si="2"/>
        <v>135.520894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497</v>
      </c>
      <c r="L24" s="220" t="s">
        <v>973</v>
      </c>
      <c r="O24" s="81">
        <v>1.05</v>
      </c>
      <c r="P24" s="81">
        <f t="shared" si="2"/>
        <v>134.24239500000002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" si="3">C25*(E25-D25)</f>
        <v>-1.0000000000002274</v>
      </c>
      <c r="G25" s="39">
        <f t="shared" ref="G25" si="4">D25*C25</f>
        <v>3000</v>
      </c>
      <c r="H25" s="222">
        <f t="shared" ref="H25" si="5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2"/>
        <v>132.96389600000001</v>
      </c>
      <c r="T25" s="156">
        <v>43305</v>
      </c>
      <c r="U25" t="s">
        <v>1189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6">C26*(E26-D26)</f>
        <v>-53.599999999999</v>
      </c>
      <c r="G26" s="39">
        <f t="shared" ref="G26" si="7">D26*C26</f>
        <v>5925.5999999999995</v>
      </c>
      <c r="H26" s="222">
        <f t="shared" ref="H26" si="8">(E26-D26)/D26</f>
        <v>-9.045497502362462E-3</v>
      </c>
      <c r="I26" s="39"/>
      <c r="J26" s="39"/>
      <c r="K26" s="39"/>
      <c r="L26" s="39"/>
      <c r="O26" s="81">
        <v>1.03</v>
      </c>
      <c r="P26" s="81">
        <f t="shared" si="2"/>
        <v>131.68539699999999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ref="F27" si="9">C27*(E27-D27)</f>
        <v>136.73000000000002</v>
      </c>
      <c r="G27" s="39">
        <f t="shared" ref="G27" si="10">D27*C27</f>
        <v>2894.4700000000003</v>
      </c>
      <c r="H27" s="222">
        <f t="shared" ref="H27" si="11">(E27-D27)/D27</f>
        <v>4.7238354517407335E-2</v>
      </c>
      <c r="I27" s="39"/>
      <c r="J27" s="39"/>
      <c r="K27" s="39"/>
      <c r="L27" s="39"/>
      <c r="O27" s="81">
        <v>1.02</v>
      </c>
      <c r="P27" s="81">
        <f t="shared" si="2"/>
        <v>130.40689800000001</v>
      </c>
      <c r="T27" s="156">
        <v>43313</v>
      </c>
      <c r="U27" t="s">
        <v>1188</v>
      </c>
    </row>
    <row r="28" spans="1:21" x14ac:dyDescent="0.25">
      <c r="B28" s="184">
        <v>43181</v>
      </c>
      <c r="C28" s="10">
        <v>50</v>
      </c>
      <c r="D28" s="39">
        <v>140.6174</v>
      </c>
      <c r="E28" s="39">
        <v>134.66</v>
      </c>
      <c r="F28" s="39">
        <f t="shared" ref="F28" si="12">C28*(E28-D28)</f>
        <v>-297.87000000000035</v>
      </c>
      <c r="G28" s="39">
        <f t="shared" ref="G28" si="13">D28*C28</f>
        <v>7030.87</v>
      </c>
      <c r="H28" s="222">
        <f t="shared" ref="H28" si="14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2"/>
        <v>129.128399</v>
      </c>
      <c r="T28" s="156">
        <v>43314</v>
      </c>
      <c r="U28" t="s">
        <v>1191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ref="F29" si="15">C29*(E29-D29)</f>
        <v>-410.86999999999989</v>
      </c>
      <c r="G29" s="39">
        <f t="shared" ref="G29" si="16">D29*C29</f>
        <v>7030.87</v>
      </c>
      <c r="H29" s="222">
        <f t="shared" ref="H29" si="17">(E29-D29)/D29</f>
        <v>-5.8438002693834458E-2</v>
      </c>
      <c r="I29" s="39"/>
      <c r="J29" s="39"/>
      <c r="K29" s="39"/>
      <c r="L29" s="39"/>
      <c r="O29" s="81">
        <v>1</v>
      </c>
      <c r="P29" s="81">
        <f t="shared" si="2"/>
        <v>127.84990000000001</v>
      </c>
      <c r="T29" s="156">
        <v>43326</v>
      </c>
      <c r="U29" t="s">
        <v>1190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8">C30*(E30-D30)</f>
        <v>-147.3700000000008</v>
      </c>
      <c r="G30" s="39">
        <f t="shared" ref="G30" si="19">D30*C30</f>
        <v>7030.87</v>
      </c>
      <c r="H30" s="222">
        <f t="shared" ref="H30" si="20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2"/>
        <v>126.57140100000001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1">C31*(E31-D31)</f>
        <v>-556.87000000000069</v>
      </c>
      <c r="G31" s="39">
        <f t="shared" ref="G31" si="22">D31*C31</f>
        <v>7030.87</v>
      </c>
      <c r="H31" s="222">
        <f t="shared" ref="H31" si="23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2"/>
        <v>125.292902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24">C32*(E32-D32)</f>
        <v>-439.36999999999955</v>
      </c>
      <c r="G32" s="39">
        <f t="shared" ref="G32:G38" si="25">D32*C32</f>
        <v>7030.87</v>
      </c>
      <c r="H32" s="222">
        <f t="shared" ref="H32:H38" si="26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2"/>
        <v>124.014403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24"/>
        <v>-796.99999999999989</v>
      </c>
      <c r="G33" s="39">
        <f t="shared" si="25"/>
        <v>7031</v>
      </c>
      <c r="H33" s="222">
        <f t="shared" si="26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2"/>
        <v>122.735904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24"/>
        <v>-898.86999999999944</v>
      </c>
      <c r="G34" s="39">
        <f t="shared" si="25"/>
        <v>13164.869999999999</v>
      </c>
      <c r="H34" s="222">
        <f t="shared" si="26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2"/>
        <v>121.45740499999999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24"/>
        <v>-1856.3699999999997</v>
      </c>
      <c r="G35" s="39">
        <f t="shared" si="25"/>
        <v>13158.369999999999</v>
      </c>
      <c r="H35" s="222">
        <f t="shared" si="26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2"/>
        <v>120.178906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24"/>
        <v>-974.00000000000091</v>
      </c>
      <c r="G36" s="39">
        <f t="shared" si="25"/>
        <v>13158.000000000002</v>
      </c>
      <c r="H36" s="222">
        <f t="shared" si="26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2"/>
        <v>118.90040700000002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24"/>
        <v>-1173.0000000000018</v>
      </c>
      <c r="G37" s="39">
        <f t="shared" si="25"/>
        <v>13158.000000000002</v>
      </c>
      <c r="H37" s="222">
        <f t="shared" si="26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2"/>
        <v>117.621908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24"/>
        <v>-1591.1759999999999</v>
      </c>
      <c r="G38" s="39">
        <f t="shared" si="25"/>
        <v>15437.976000000001</v>
      </c>
      <c r="H38" s="222">
        <f t="shared" si="26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2"/>
        <v>116.34340900000001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3" si="27">C39*(E39-D39)</f>
        <v>-1383.5759999999993</v>
      </c>
      <c r="G39" s="39">
        <f t="shared" ref="G39:G43" si="28">D39*C39</f>
        <v>15437.976000000001</v>
      </c>
      <c r="H39" s="222">
        <f t="shared" ref="H39:H43" si="29">(E39-D39)/D39</f>
        <v>-8.9621592882382986E-2</v>
      </c>
      <c r="I39" s="39"/>
      <c r="J39" s="39"/>
      <c r="K39" s="39"/>
      <c r="L39" s="39"/>
      <c r="O39" s="81">
        <v>0.9</v>
      </c>
      <c r="P39" s="81">
        <f t="shared" si="2"/>
        <v>115.06491000000001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27"/>
        <v>531.00000000000023</v>
      </c>
      <c r="G40" s="39">
        <f t="shared" si="28"/>
        <v>6219</v>
      </c>
      <c r="H40" s="222">
        <f t="shared" si="29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27"/>
        <v>380.93999999999949</v>
      </c>
      <c r="G41" s="39">
        <f t="shared" si="28"/>
        <v>8873.06</v>
      </c>
      <c r="H41" s="222">
        <f t="shared" si="29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27"/>
        <v>57.600000000000051</v>
      </c>
      <c r="G42" s="39">
        <f t="shared" si="28"/>
        <v>11424.6</v>
      </c>
      <c r="H42" s="222">
        <f t="shared" si="29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27"/>
        <v>-59.499999999999886</v>
      </c>
      <c r="G43" s="39">
        <f t="shared" si="28"/>
        <v>12687.5</v>
      </c>
      <c r="H43" s="222">
        <f t="shared" si="29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918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162" priority="31">
      <formula>F54&gt;0</formula>
    </cfRule>
    <cfRule type="expression" dxfId="1161" priority="32">
      <formula>F54&lt;0</formula>
    </cfRule>
  </conditionalFormatting>
  <conditionalFormatting sqref="Q7">
    <cfRule type="expression" dxfId="1160" priority="29">
      <formula>Q7&gt;0</formula>
    </cfRule>
    <cfRule type="expression" dxfId="1159" priority="30">
      <formula>Q7&lt;0</formula>
    </cfRule>
  </conditionalFormatting>
  <conditionalFormatting sqref="Q8">
    <cfRule type="expression" dxfId="1158" priority="27">
      <formula>Q8&gt;0</formula>
    </cfRule>
    <cfRule type="expression" dxfId="1157" priority="28">
      <formula>Q8&lt;0</formula>
    </cfRule>
  </conditionalFormatting>
  <conditionalFormatting sqref="F34:F53">
    <cfRule type="expression" dxfId="1156" priority="25">
      <formula>F34&gt;0</formula>
    </cfRule>
    <cfRule type="expression" dxfId="1155" priority="26">
      <formula>F34&lt;0</formula>
    </cfRule>
  </conditionalFormatting>
  <conditionalFormatting sqref="H34:H53">
    <cfRule type="expression" dxfId="1154" priority="23">
      <formula>H34&gt;0</formula>
    </cfRule>
    <cfRule type="expression" dxfId="1153" priority="24">
      <formula>H34&lt;0</formula>
    </cfRule>
  </conditionalFormatting>
  <conditionalFormatting sqref="Q10">
    <cfRule type="expression" dxfId="1152" priority="21">
      <formula>Q10&gt;0</formula>
    </cfRule>
    <cfRule type="expression" dxfId="1151" priority="22">
      <formula>Q10&lt;0</formula>
    </cfRule>
  </conditionalFormatting>
  <conditionalFormatting sqref="J25:J38">
    <cfRule type="expression" dxfId="1150" priority="19">
      <formula>J25&gt;0</formula>
    </cfRule>
    <cfRule type="expression" dxfId="1149" priority="20">
      <formula>J25&lt;0</formula>
    </cfRule>
  </conditionalFormatting>
  <conditionalFormatting sqref="K25:K35 K37:K38">
    <cfRule type="expression" dxfId="1148" priority="17">
      <formula>K25&gt;0</formula>
    </cfRule>
    <cfRule type="expression" dxfId="1147" priority="18">
      <formula>K25&lt;0</formula>
    </cfRule>
  </conditionalFormatting>
  <conditionalFormatting sqref="L25">
    <cfRule type="expression" dxfId="1146" priority="15">
      <formula>L25&gt;0</formula>
    </cfRule>
    <cfRule type="expression" dxfId="1145" priority="16">
      <formula>L25&lt;0</formula>
    </cfRule>
  </conditionalFormatting>
  <conditionalFormatting sqref="F89:F110">
    <cfRule type="expression" dxfId="1144" priority="13">
      <formula>F89&gt;0</formula>
    </cfRule>
    <cfRule type="expression" dxfId="1143" priority="14">
      <formula>F89&lt;0</formula>
    </cfRule>
  </conditionalFormatting>
  <conditionalFormatting sqref="H89:H110">
    <cfRule type="expression" dxfId="1142" priority="11">
      <formula>H89&gt;0</formula>
    </cfRule>
    <cfRule type="expression" dxfId="1141" priority="12">
      <formula>H89&lt;0</formula>
    </cfRule>
  </conditionalFormatting>
  <conditionalFormatting sqref="J89:J102">
    <cfRule type="expression" dxfId="1140" priority="9">
      <formula>J89&gt;0</formula>
    </cfRule>
    <cfRule type="expression" dxfId="1139" priority="10">
      <formula>J89&lt;0</formula>
    </cfRule>
  </conditionalFormatting>
  <conditionalFormatting sqref="K89:K102">
    <cfRule type="expression" dxfId="1138" priority="7">
      <formula>K89&gt;0</formula>
    </cfRule>
    <cfRule type="expression" dxfId="1137" priority="8">
      <formula>K89&lt;0</formula>
    </cfRule>
  </conditionalFormatting>
  <conditionalFormatting sqref="L89:L102">
    <cfRule type="expression" dxfId="1136" priority="5">
      <formula>L89&gt;0</formula>
    </cfRule>
    <cfRule type="expression" dxfId="1135" priority="6">
      <formula>L89&lt;0</formula>
    </cfRule>
  </conditionalFormatting>
  <conditionalFormatting sqref="F25:F33">
    <cfRule type="expression" dxfId="1134" priority="3">
      <formula>F25&gt;0</formula>
    </cfRule>
    <cfRule type="expression" dxfId="1133" priority="4">
      <formula>F25&lt;0</formula>
    </cfRule>
  </conditionalFormatting>
  <conditionalFormatting sqref="H25:H33">
    <cfRule type="expression" dxfId="1132" priority="1">
      <formula>H25&gt;0</formula>
    </cfRule>
    <cfRule type="expression" dxfId="113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917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ref="F3" si="2">C3*D3+E3</f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247.83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>C4*D4+E4</f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247.83</v>
      </c>
      <c r="R4" s="495">
        <v>1.32E-2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>C5*D5+E5</f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4"/>
      <c r="M6" s="4"/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411.71000000000276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>C8*D8+E8</f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411.71000000000276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973</v>
      </c>
      <c r="Q13">
        <v>16.34</v>
      </c>
      <c r="S13" s="22" t="s">
        <v>978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74.319999999999993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74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272.61300000000006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3">O24*$Q$4</f>
        <v>270.13470000000001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 t="shared" ref="F25" si="4">C25*(E25-D25)</f>
        <v>-5.2499999999999147</v>
      </c>
      <c r="G25" s="39">
        <f t="shared" ref="G25" si="5">D25*C25</f>
        <v>3829.2</v>
      </c>
      <c r="H25" s="222">
        <f t="shared" ref="H25" si="6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3"/>
        <v>267.65640000000002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 t="shared" ref="F26" si="7">C26*(E26-D26)</f>
        <v>-132.74999999999949</v>
      </c>
      <c r="G26" s="39">
        <f t="shared" ref="G26" si="8">D26*C26</f>
        <v>7430.8499999999995</v>
      </c>
      <c r="H26" s="222">
        <f t="shared" ref="H26" si="9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3"/>
        <v>265.17810000000003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 t="shared" ref="F27:F28" si="10">C27*(E27-D27)</f>
        <v>44.400000000000546</v>
      </c>
      <c r="G27" s="39">
        <f t="shared" ref="G27:G28" si="11">D27*C27</f>
        <v>14477.4</v>
      </c>
      <c r="H27" s="222">
        <f t="shared" ref="H27:H28" si="12">(E27-D27)/D27</f>
        <v>3.0668490198516685E-3</v>
      </c>
      <c r="I27" s="39"/>
      <c r="J27" s="39"/>
      <c r="K27" s="39"/>
      <c r="L27" s="155"/>
      <c r="O27" s="81">
        <v>1.06</v>
      </c>
      <c r="P27" s="81">
        <f t="shared" si="3"/>
        <v>262.69980000000004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 t="shared" si="10"/>
        <v>42.218999999999767</v>
      </c>
      <c r="G28" s="39">
        <f t="shared" si="11"/>
        <v>10849.130999999999</v>
      </c>
      <c r="H28" s="222">
        <f t="shared" si="12"/>
        <v>3.89146374949291E-3</v>
      </c>
      <c r="I28" s="39"/>
      <c r="J28" s="39"/>
      <c r="K28" s="39"/>
      <c r="L28" s="155"/>
      <c r="O28" s="81">
        <v>1.05</v>
      </c>
      <c r="P28" s="81">
        <f t="shared" si="3"/>
        <v>260.22150000000005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3"/>
        <v>257.7432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 t="shared" ref="F30" si="13">C30*(E30-D30)</f>
        <v>-35.320999999998577</v>
      </c>
      <c r="G30" s="39">
        <f t="shared" ref="G30" si="14">D30*C30</f>
        <v>13200.120999999999</v>
      </c>
      <c r="H30" s="222">
        <f t="shared" ref="H30" si="15"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3"/>
        <v>255.26490000000001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16">C31*(E31-D31)</f>
        <v>-267.97099999999955</v>
      </c>
      <c r="G31" s="39">
        <f t="shared" ref="G31:G40" si="17">D31*C31</f>
        <v>13200.120999999999</v>
      </c>
      <c r="H31" s="222">
        <f t="shared" ref="H31:H40" si="18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3"/>
        <v>252.78660000000002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16"/>
        <v>100.09999999999962</v>
      </c>
      <c r="G32" s="39">
        <f t="shared" si="17"/>
        <v>13200</v>
      </c>
      <c r="H32" s="222">
        <f t="shared" si="18"/>
        <v>7.5833333333333048E-3</v>
      </c>
      <c r="I32" s="39"/>
      <c r="J32" s="39"/>
      <c r="K32" s="39"/>
      <c r="L32" s="155"/>
      <c r="O32" s="81">
        <v>1.01</v>
      </c>
      <c r="P32" s="81">
        <f t="shared" si="3"/>
        <v>250.3083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16"/>
        <v>140.4000000000002</v>
      </c>
      <c r="G33" s="39">
        <f t="shared" si="17"/>
        <v>10770.3</v>
      </c>
      <c r="H33" s="222">
        <f t="shared" si="18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3"/>
        <v>247.83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16"/>
        <v>7.0199999999994134</v>
      </c>
      <c r="G34" s="39">
        <f t="shared" si="17"/>
        <v>14362.980000000001</v>
      </c>
      <c r="H34" s="222">
        <f t="shared" si="18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3"/>
        <v>245.35170000000002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16"/>
        <v>73.799999999999386</v>
      </c>
      <c r="G35" s="39">
        <f t="shared" si="17"/>
        <v>10714.05</v>
      </c>
      <c r="H35" s="222">
        <f t="shared" si="18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3"/>
        <v>242.8734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16"/>
        <v>343.14899999999994</v>
      </c>
      <c r="G36" s="39">
        <f t="shared" si="17"/>
        <v>7025.451</v>
      </c>
      <c r="H36" s="222">
        <f t="shared" si="18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3"/>
        <v>240.39510000000001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16"/>
        <v>429.00000000000034</v>
      </c>
      <c r="G37" s="39">
        <f t="shared" si="17"/>
        <v>7005</v>
      </c>
      <c r="H37" s="222">
        <f t="shared" si="18"/>
        <v>6.1241970021413322E-2</v>
      </c>
      <c r="I37" s="39"/>
      <c r="J37" s="39"/>
      <c r="K37" s="39"/>
      <c r="L37" s="39"/>
      <c r="O37" s="81">
        <v>0.96</v>
      </c>
      <c r="P37" s="81">
        <f t="shared" si="3"/>
        <v>237.91679999999999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16"/>
        <v>215.77999999999975</v>
      </c>
      <c r="G38" s="39">
        <f t="shared" si="17"/>
        <v>9387.82</v>
      </c>
      <c r="H38" s="222">
        <f t="shared" si="18"/>
        <v>2.2985101972555901E-2</v>
      </c>
      <c r="I38" s="39"/>
      <c r="J38" s="39"/>
      <c r="K38" s="39"/>
      <c r="L38" s="39"/>
      <c r="O38" s="81">
        <v>0.95</v>
      </c>
      <c r="P38" s="81">
        <f t="shared" si="3"/>
        <v>235.4385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16"/>
        <v>514.71900000000062</v>
      </c>
      <c r="G39" s="39">
        <f t="shared" si="17"/>
        <v>6909.0809999999992</v>
      </c>
      <c r="H39" s="222">
        <f t="shared" si="18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3"/>
        <v>232.96019999999999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16"/>
        <v>717.50099999999975</v>
      </c>
      <c r="G40" s="39">
        <f t="shared" si="17"/>
        <v>6884.1989999999996</v>
      </c>
      <c r="H40" s="222">
        <f t="shared" si="18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3"/>
        <v>230.48190000000002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3"/>
        <v>228.00360000000003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3"/>
        <v>225.52530000000002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3"/>
        <v>223.04700000000003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30" priority="31">
      <formula>F47&gt;0</formula>
    </cfRule>
    <cfRule type="expression" dxfId="1129" priority="32">
      <formula>F47&lt;0</formula>
    </cfRule>
  </conditionalFormatting>
  <conditionalFormatting sqref="Q7">
    <cfRule type="expression" dxfId="1128" priority="29">
      <formula>Q7&gt;0</formula>
    </cfRule>
    <cfRule type="expression" dxfId="1127" priority="30">
      <formula>Q7&lt;0</formula>
    </cfRule>
  </conditionalFormatting>
  <conditionalFormatting sqref="Q8">
    <cfRule type="expression" dxfId="1126" priority="27">
      <formula>Q8&gt;0</formula>
    </cfRule>
    <cfRule type="expression" dxfId="1125" priority="28">
      <formula>Q8&lt;0</formula>
    </cfRule>
  </conditionalFormatting>
  <conditionalFormatting sqref="F32:F46">
    <cfRule type="expression" dxfId="1124" priority="25">
      <formula>F32&gt;0</formula>
    </cfRule>
    <cfRule type="expression" dxfId="1123" priority="26">
      <formula>F32&lt;0</formula>
    </cfRule>
  </conditionalFormatting>
  <conditionalFormatting sqref="H32:H46">
    <cfRule type="expression" dxfId="1122" priority="23">
      <formula>H32&gt;0</formula>
    </cfRule>
    <cfRule type="expression" dxfId="1121" priority="24">
      <formula>H32&lt;0</formula>
    </cfRule>
  </conditionalFormatting>
  <conditionalFormatting sqref="Q10">
    <cfRule type="expression" dxfId="1120" priority="21">
      <formula>Q10&gt;0</formula>
    </cfRule>
    <cfRule type="expression" dxfId="1119" priority="22">
      <formula>Q10&lt;0</formula>
    </cfRule>
  </conditionalFormatting>
  <conditionalFormatting sqref="J25:J38">
    <cfRule type="expression" dxfId="1118" priority="19">
      <formula>J25&gt;0</formula>
    </cfRule>
    <cfRule type="expression" dxfId="1117" priority="20">
      <formula>J25&lt;0</formula>
    </cfRule>
  </conditionalFormatting>
  <conditionalFormatting sqref="K25:K38">
    <cfRule type="expression" dxfId="1116" priority="17">
      <formula>K25&gt;0</formula>
    </cfRule>
    <cfRule type="expression" dxfId="1115" priority="18">
      <formula>K25&lt;0</formula>
    </cfRule>
  </conditionalFormatting>
  <conditionalFormatting sqref="L25:L38">
    <cfRule type="expression" dxfId="1114" priority="15">
      <formula>L25&gt;0</formula>
    </cfRule>
    <cfRule type="expression" dxfId="1113" priority="16">
      <formula>L25&lt;0</formula>
    </cfRule>
  </conditionalFormatting>
  <conditionalFormatting sqref="F89:F110">
    <cfRule type="expression" dxfId="1112" priority="13">
      <formula>F89&gt;0</formula>
    </cfRule>
    <cfRule type="expression" dxfId="1111" priority="14">
      <formula>F89&lt;0</formula>
    </cfRule>
  </conditionalFormatting>
  <conditionalFormatting sqref="H89:H110">
    <cfRule type="expression" dxfId="1110" priority="11">
      <formula>H89&gt;0</formula>
    </cfRule>
    <cfRule type="expression" dxfId="1109" priority="12">
      <formula>H89&lt;0</formula>
    </cfRule>
  </conditionalFormatting>
  <conditionalFormatting sqref="J89:J102">
    <cfRule type="expression" dxfId="1108" priority="9">
      <formula>J89&gt;0</formula>
    </cfRule>
    <cfRule type="expression" dxfId="1107" priority="10">
      <formula>J89&lt;0</formula>
    </cfRule>
  </conditionalFormatting>
  <conditionalFormatting sqref="K89:K102">
    <cfRule type="expression" dxfId="1106" priority="7">
      <formula>K89&gt;0</formula>
    </cfRule>
    <cfRule type="expression" dxfId="1105" priority="8">
      <formula>K89&lt;0</formula>
    </cfRule>
  </conditionalFormatting>
  <conditionalFormatting sqref="L89:L102">
    <cfRule type="expression" dxfId="1104" priority="5">
      <formula>L89&gt;0</formula>
    </cfRule>
    <cfRule type="expression" dxfId="1103" priority="6">
      <formula>L89&lt;0</formula>
    </cfRule>
  </conditionalFormatting>
  <conditionalFormatting sqref="F25:F31">
    <cfRule type="expression" dxfId="1102" priority="3">
      <formula>F25&gt;0</formula>
    </cfRule>
    <cfRule type="expression" dxfId="1101" priority="4">
      <formula>F25&lt;0</formula>
    </cfRule>
  </conditionalFormatting>
  <conditionalFormatting sqref="H25:H31">
    <cfRule type="expression" dxfId="1100" priority="1">
      <formula>H25&gt;0</formula>
    </cfRule>
    <cfRule type="expression" dxfId="1099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922</v>
      </c>
      <c r="B2" s="434">
        <v>43139</v>
      </c>
      <c r="C2" s="7">
        <v>40</v>
      </c>
      <c r="D2" s="43">
        <v>67.58</v>
      </c>
      <c r="E2" s="43">
        <v>0</v>
      </c>
      <c r="F2" s="43">
        <f t="shared" ref="F2:F3" si="0"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817</v>
      </c>
    </row>
    <row r="3" spans="1:21" x14ac:dyDescent="0.25">
      <c r="A3" s="22" t="s">
        <v>71</v>
      </c>
      <c r="B3" s="72">
        <v>43249</v>
      </c>
      <c r="C3" s="4">
        <v>60</v>
      </c>
      <c r="D3" s="3">
        <v>69.599999999999994</v>
      </c>
      <c r="E3" s="3">
        <v>0</v>
      </c>
      <c r="F3" s="3">
        <f t="shared" si="0"/>
        <v>4176</v>
      </c>
      <c r="G3" s="72"/>
      <c r="H3" s="176"/>
      <c r="I3" s="3"/>
      <c r="J3" s="3"/>
      <c r="K3" s="3"/>
      <c r="L3" s="72">
        <v>43281</v>
      </c>
      <c r="M3" s="43">
        <v>14.4</v>
      </c>
      <c r="O3" s="11" t="s">
        <v>58</v>
      </c>
      <c r="Q3" s="221">
        <f>IF(Q2=0, Q4, (F18-K18-M18)/Q2)</f>
        <v>65.593999999999994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74.58</v>
      </c>
      <c r="R4" s="495">
        <v>2.0400000000000001E-2</v>
      </c>
      <c r="T4" s="770">
        <v>43103</v>
      </c>
      <c r="U4" s="30" t="s">
        <v>840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4474.8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3935.6399999999994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539.16000000000031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539.16000000000031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0.13699423727779989</v>
      </c>
      <c r="T9" s="770">
        <v>43249</v>
      </c>
      <c r="U9" t="s">
        <v>1117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1.2872083668543845E-2</v>
      </c>
      <c r="R11">
        <v>0.24</v>
      </c>
    </row>
    <row r="12" spans="1:21" x14ac:dyDescent="0.25">
      <c r="H12" s="70"/>
      <c r="O12" s="11" t="s">
        <v>946</v>
      </c>
      <c r="Q12" s="1"/>
    </row>
    <row r="13" spans="1:21" x14ac:dyDescent="0.25">
      <c r="H13" s="70"/>
      <c r="O13" s="11" t="s">
        <v>973</v>
      </c>
      <c r="Q13">
        <f>Q4/3.55</f>
        <v>21.008450704225353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6879.2</v>
      </c>
      <c r="G18" s="14"/>
      <c r="H18" s="71">
        <f>SUM(H2:H5)</f>
        <v>40</v>
      </c>
      <c r="I18" s="18"/>
      <c r="J18" s="18"/>
      <c r="K18" s="18">
        <f>SUM(K2:K5)</f>
        <v>2919.56</v>
      </c>
      <c r="L18" s="14"/>
      <c r="M18" s="18">
        <f>SUM(M2:M10)</f>
        <v>24</v>
      </c>
    </row>
    <row r="19" spans="1:17" ht="15.75" thickBot="1" x14ac:dyDescent="0.3">
      <c r="A19" s="341" t="s">
        <v>193</v>
      </c>
      <c r="B19" s="342"/>
      <c r="C19" s="343">
        <f>SumByColor($A$19,C2:C17)</f>
        <v>40</v>
      </c>
      <c r="D19" s="343"/>
      <c r="E19" s="343"/>
      <c r="F19" s="344">
        <f>SumByColor($A$19,F2:F17)</f>
        <v>2703</v>
      </c>
      <c r="G19" s="343"/>
      <c r="H19" s="343">
        <f>SumByColor($A$19,H2:H17)</f>
        <v>40</v>
      </c>
      <c r="I19" s="343"/>
      <c r="J19" s="343"/>
      <c r="K19" s="344">
        <f>SumByColor($A$19,K2:K17)</f>
        <v>2920</v>
      </c>
      <c r="L19" s="343"/>
      <c r="M19" s="344">
        <f>SumByColor($A$19,M2:M17)</f>
        <v>24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82.038000000000011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669</v>
      </c>
      <c r="L24" s="220" t="s">
        <v>675</v>
      </c>
      <c r="O24" s="81">
        <v>1.0900000000000001</v>
      </c>
      <c r="P24" s="81">
        <f t="shared" ref="P24:P43" si="1">O24*$Q$4</f>
        <v>81.292200000000008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2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80.546400000000006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2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79.800600000000003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2">
        <f t="shared" ref="H27" si="10">(E27-D27)/D27</f>
        <v>7.6923076923076816E-2</v>
      </c>
      <c r="I27" s="39"/>
      <c r="J27" s="39"/>
      <c r="K27" s="39"/>
      <c r="L27" s="155"/>
      <c r="O27" s="81">
        <v>1.06</v>
      </c>
      <c r="P27" s="81">
        <f t="shared" si="1"/>
        <v>79.0548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ref="F28:F32" si="11">C28*(E28-D28)</f>
        <v>168.39999999999975</v>
      </c>
      <c r="G28" s="39">
        <f t="shared" ref="G28:G32" si="12">D28*C28</f>
        <v>2693.6000000000004</v>
      </c>
      <c r="H28" s="222">
        <f t="shared" ref="H28:H32" si="13">(E28-D28)/D28</f>
        <v>6.2518562518562429E-2</v>
      </c>
      <c r="I28" s="39"/>
      <c r="J28" s="39"/>
      <c r="K28" s="39"/>
      <c r="L28" s="155"/>
      <c r="O28" s="81">
        <v>1.05</v>
      </c>
      <c r="P28" s="81">
        <f t="shared" si="1"/>
        <v>78.308999999999997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1"/>
        <v>112.39999999999952</v>
      </c>
      <c r="G29" s="39">
        <f t="shared" si="12"/>
        <v>6869.5999999999995</v>
      </c>
      <c r="H29" s="222">
        <f t="shared" si="13"/>
        <v>1.6361942471177292E-2</v>
      </c>
      <c r="I29" s="39"/>
      <c r="J29" s="39"/>
      <c r="K29" s="39"/>
      <c r="L29" s="155"/>
      <c r="O29" s="81">
        <v>1.04</v>
      </c>
      <c r="P29" s="81">
        <f t="shared" si="1"/>
        <v>77.563199999999995</v>
      </c>
      <c r="Q29" s="2"/>
    </row>
    <row r="30" spans="1:17" x14ac:dyDescent="0.25">
      <c r="A30">
        <v>0</v>
      </c>
      <c r="B30" s="184">
        <v>43256</v>
      </c>
      <c r="C30" s="10">
        <v>60</v>
      </c>
      <c r="D30" s="39">
        <v>65.834000000000003</v>
      </c>
      <c r="E30" s="39">
        <v>73.78</v>
      </c>
      <c r="F30" s="39">
        <f t="shared" si="11"/>
        <v>476.75999999999988</v>
      </c>
      <c r="G30" s="39">
        <f t="shared" si="12"/>
        <v>3950.04</v>
      </c>
      <c r="H30" s="222">
        <f t="shared" si="13"/>
        <v>0.12069751192392984</v>
      </c>
      <c r="I30" s="39"/>
      <c r="J30" s="39"/>
      <c r="K30" s="39"/>
      <c r="L30" s="155"/>
      <c r="O30" s="81">
        <v>1.03</v>
      </c>
      <c r="P30" s="81">
        <f t="shared" si="1"/>
        <v>76.817400000000006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1"/>
        <v>569.75999999999976</v>
      </c>
      <c r="G31" s="39">
        <f t="shared" si="12"/>
        <v>3950.04</v>
      </c>
      <c r="H31" s="222">
        <f t="shared" si="13"/>
        <v>0.14424157730048295</v>
      </c>
      <c r="I31" s="39"/>
      <c r="J31" s="39"/>
      <c r="K31" s="39"/>
      <c r="L31" s="155"/>
      <c r="O31" s="81">
        <v>1.02</v>
      </c>
      <c r="P31" s="81">
        <f t="shared" si="1"/>
        <v>76.071600000000004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1"/>
        <v>477.36000000000018</v>
      </c>
      <c r="G32" s="39">
        <f t="shared" si="12"/>
        <v>3935.6399999999994</v>
      </c>
      <c r="H32" s="222">
        <f t="shared" si="13"/>
        <v>0.12129158154709278</v>
      </c>
      <c r="I32" s="39"/>
      <c r="J32" s="39"/>
      <c r="K32" s="39"/>
      <c r="L32" s="155"/>
      <c r="O32" s="81">
        <v>1.01</v>
      </c>
      <c r="P32" s="81">
        <f t="shared" si="1"/>
        <v>75.325800000000001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74.58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73.834199999999996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73.088399999999993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72.34259999999999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71.596800000000002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70.850999999999999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70.105199999999996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69.359400000000008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68.613600000000005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67.867800000000003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67.122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8" priority="31">
      <formula>F47&gt;0</formula>
    </cfRule>
    <cfRule type="expression" dxfId="1097" priority="32">
      <formula>F47&lt;0</formula>
    </cfRule>
  </conditionalFormatting>
  <conditionalFormatting sqref="Q7">
    <cfRule type="expression" dxfId="1096" priority="29">
      <formula>Q7&gt;0</formula>
    </cfRule>
    <cfRule type="expression" dxfId="1095" priority="30">
      <formula>Q7&lt;0</formula>
    </cfRule>
  </conditionalFormatting>
  <conditionalFormatting sqref="Q8">
    <cfRule type="expression" dxfId="1094" priority="27">
      <formula>Q8&gt;0</formula>
    </cfRule>
    <cfRule type="expression" dxfId="1093" priority="28">
      <formula>Q8&lt;0</formula>
    </cfRule>
  </conditionalFormatting>
  <conditionalFormatting sqref="F30:F46">
    <cfRule type="expression" dxfId="1092" priority="25">
      <formula>F30&gt;0</formula>
    </cfRule>
    <cfRule type="expression" dxfId="1091" priority="26">
      <formula>F30&lt;0</formula>
    </cfRule>
  </conditionalFormatting>
  <conditionalFormatting sqref="H30:H46">
    <cfRule type="expression" dxfId="1090" priority="23">
      <formula>H30&gt;0</formula>
    </cfRule>
    <cfRule type="expression" dxfId="1089" priority="24">
      <formula>H30&lt;0</formula>
    </cfRule>
  </conditionalFormatting>
  <conditionalFormatting sqref="Q10">
    <cfRule type="expression" dxfId="1088" priority="21">
      <formula>Q10&gt;0</formula>
    </cfRule>
    <cfRule type="expression" dxfId="1087" priority="22">
      <formula>Q10&lt;0</formula>
    </cfRule>
  </conditionalFormatting>
  <conditionalFormatting sqref="J25:J38">
    <cfRule type="expression" dxfId="1086" priority="19">
      <formula>J25&gt;0</formula>
    </cfRule>
    <cfRule type="expression" dxfId="1085" priority="20">
      <formula>J25&lt;0</formula>
    </cfRule>
  </conditionalFormatting>
  <conditionalFormatting sqref="K25:K38">
    <cfRule type="expression" dxfId="1084" priority="17">
      <formula>K25&gt;0</formula>
    </cfRule>
    <cfRule type="expression" dxfId="1083" priority="18">
      <formula>K25&lt;0</formula>
    </cfRule>
  </conditionalFormatting>
  <conditionalFormatting sqref="L25:L38">
    <cfRule type="expression" dxfId="1082" priority="15">
      <formula>L25&gt;0</formula>
    </cfRule>
    <cfRule type="expression" dxfId="1081" priority="16">
      <formula>L25&lt;0</formula>
    </cfRule>
  </conditionalFormatting>
  <conditionalFormatting sqref="F89:F110">
    <cfRule type="expression" dxfId="1080" priority="13">
      <formula>F89&gt;0</formula>
    </cfRule>
    <cfRule type="expression" dxfId="1079" priority="14">
      <formula>F89&lt;0</formula>
    </cfRule>
  </conditionalFormatting>
  <conditionalFormatting sqref="H89:H110">
    <cfRule type="expression" dxfId="1078" priority="11">
      <formula>H89&gt;0</formula>
    </cfRule>
    <cfRule type="expression" dxfId="1077" priority="12">
      <formula>H89&lt;0</formula>
    </cfRule>
  </conditionalFormatting>
  <conditionalFormatting sqref="J89:J102">
    <cfRule type="expression" dxfId="1076" priority="9">
      <formula>J89&gt;0</formula>
    </cfRule>
    <cfRule type="expression" dxfId="1075" priority="10">
      <formula>J89&lt;0</formula>
    </cfRule>
  </conditionalFormatting>
  <conditionalFormatting sqref="K89:K102">
    <cfRule type="expression" dxfId="1074" priority="7">
      <formula>K89&gt;0</formula>
    </cfRule>
    <cfRule type="expression" dxfId="1073" priority="8">
      <formula>K89&lt;0</formula>
    </cfRule>
  </conditionalFormatting>
  <conditionalFormatting sqref="L89:L102">
    <cfRule type="expression" dxfId="1072" priority="5">
      <formula>L89&gt;0</formula>
    </cfRule>
    <cfRule type="expression" dxfId="1071" priority="6">
      <formula>L89&lt;0</formula>
    </cfRule>
  </conditionalFormatting>
  <conditionalFormatting sqref="F25:F29">
    <cfRule type="expression" dxfId="1070" priority="3">
      <formula>F25&gt;0</formula>
    </cfRule>
    <cfRule type="expression" dxfId="1069" priority="4">
      <formula>F25&lt;0</formula>
    </cfRule>
  </conditionalFormatting>
  <conditionalFormatting sqref="H25:H29">
    <cfRule type="expression" dxfId="1068" priority="1">
      <formula>H25&gt;0</formula>
    </cfRule>
    <cfRule type="expression" dxfId="106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77.28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77.28</v>
      </c>
      <c r="R4" s="475">
        <v>1.0500000000000001E-2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208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207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497</v>
      </c>
      <c r="J22" s="220" t="s">
        <v>150</v>
      </c>
      <c r="K22" s="220" t="s">
        <v>669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271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51" t="s">
        <v>78</v>
      </c>
      <c r="P44" s="851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85.00800000000001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84.235200000000006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83.462400000000002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82.689600000000013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81.916800000000009</v>
      </c>
      <c r="T49" s="91" t="s">
        <v>121</v>
      </c>
      <c r="U49" s="127" t="s">
        <v>522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81.144000000000005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80.371200000000002</v>
      </c>
      <c r="T51" s="91" t="s">
        <v>104</v>
      </c>
      <c r="U51" s="127" t="s">
        <v>597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79.598399999999998</v>
      </c>
      <c r="T52" s="91" t="s">
        <v>105</v>
      </c>
      <c r="U52" s="127" t="s">
        <v>598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78.825600000000009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78.052800000000005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77.28</v>
      </c>
      <c r="T55" s="91" t="s">
        <v>107</v>
      </c>
      <c r="U55" s="127" t="s">
        <v>599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76.507199999999997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75.734399999999994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74.961600000000004</v>
      </c>
      <c r="T58" s="91" t="s">
        <v>108</v>
      </c>
      <c r="U58" s="127" t="s">
        <v>539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74.188800000000001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73.415999999999997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72.643199999999993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71.870400000000004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71.0976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70.32480000000001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69.552000000000007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66" priority="57">
      <formula>F27&gt;0</formula>
    </cfRule>
    <cfRule type="expression" dxfId="1065" priority="58">
      <formula>F27&lt;0</formula>
    </cfRule>
  </conditionalFormatting>
  <conditionalFormatting sqref="H28:H33">
    <cfRule type="expression" dxfId="1064" priority="53">
      <formula>H28&gt;0</formula>
    </cfRule>
    <cfRule type="expression" dxfId="1063" priority="54">
      <formula>H28&lt;0</formula>
    </cfRule>
  </conditionalFormatting>
  <conditionalFormatting sqref="F24:F26">
    <cfRule type="expression" dxfId="1062" priority="39">
      <formula>F24&gt;0</formula>
    </cfRule>
    <cfRule type="expression" dxfId="1061" priority="40">
      <formula>F24&lt;0</formula>
    </cfRule>
  </conditionalFormatting>
  <conditionalFormatting sqref="Q8">
    <cfRule type="expression" dxfId="1060" priority="33">
      <formula>Q8&gt;0</formula>
    </cfRule>
    <cfRule type="expression" dxfId="1059" priority="34">
      <formula>Q8&lt;0</formula>
    </cfRule>
  </conditionalFormatting>
  <conditionalFormatting sqref="Q7">
    <cfRule type="expression" dxfId="1058" priority="35">
      <formula>Q7&gt;0</formula>
    </cfRule>
    <cfRule type="expression" dxfId="1057" priority="36">
      <formula>Q7&lt;0</formula>
    </cfRule>
  </conditionalFormatting>
  <conditionalFormatting sqref="F34">
    <cfRule type="expression" dxfId="1056" priority="31">
      <formula>F34&gt;0</formula>
    </cfRule>
    <cfRule type="expression" dxfId="1055" priority="32">
      <formula>F34&lt;0</formula>
    </cfRule>
  </conditionalFormatting>
  <conditionalFormatting sqref="H34">
    <cfRule type="expression" dxfId="1054" priority="29">
      <formula>H34&gt;0</formula>
    </cfRule>
    <cfRule type="expression" dxfId="1053" priority="30">
      <formula>H34&lt;0</formula>
    </cfRule>
  </conditionalFormatting>
  <conditionalFormatting sqref="M36">
    <cfRule type="expression" dxfId="1052" priority="19">
      <formula>M36&gt;0</formula>
    </cfRule>
    <cfRule type="expression" dxfId="1051" priority="20">
      <formula>M36&lt;0</formula>
    </cfRule>
  </conditionalFormatting>
  <conditionalFormatting sqref="Q10">
    <cfRule type="expression" dxfId="1050" priority="15">
      <formula>Q10&gt;0</formula>
    </cfRule>
    <cfRule type="expression" dxfId="1049" priority="16">
      <formula>Q10&lt;0</formula>
    </cfRule>
  </conditionalFormatting>
  <conditionalFormatting sqref="F23">
    <cfRule type="expression" dxfId="1048" priority="13">
      <formula>F23&gt;0</formula>
    </cfRule>
    <cfRule type="expression" dxfId="1047" priority="14">
      <formula>F23&lt;0</formula>
    </cfRule>
  </conditionalFormatting>
  <conditionalFormatting sqref="I25:J25">
    <cfRule type="expression" dxfId="1046" priority="9">
      <formula>I25&gt;0</formula>
    </cfRule>
    <cfRule type="expression" dxfId="1045" priority="10">
      <formula>I25&lt;0</formula>
    </cfRule>
  </conditionalFormatting>
  <conditionalFormatting sqref="I26:J27">
    <cfRule type="expression" dxfId="1044" priority="7">
      <formula>I26&gt;0</formula>
    </cfRule>
    <cfRule type="expression" dxfId="1043" priority="8">
      <formula>I26&lt;0</formula>
    </cfRule>
  </conditionalFormatting>
  <conditionalFormatting sqref="K25:K27">
    <cfRule type="expression" dxfId="1042" priority="5">
      <formula>K25&gt;0</formula>
    </cfRule>
    <cfRule type="expression" dxfId="1041" priority="6">
      <formula>K25&lt;0</formula>
    </cfRule>
  </conditionalFormatting>
  <conditionalFormatting sqref="I23:J23">
    <cfRule type="expression" dxfId="1040" priority="3">
      <formula>I23&gt;0</formula>
    </cfRule>
    <cfRule type="expression" dxfId="1039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71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4" max="6" width="9.140625" style="2"/>
    <col min="7" max="7" width="10.7109375" bestFit="1" customWidth="1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757</v>
      </c>
      <c r="AB1" s="731" t="s">
        <v>713</v>
      </c>
      <c r="AC1" s="731" t="s">
        <v>933</v>
      </c>
      <c r="AD1" s="731" t="s">
        <v>932</v>
      </c>
      <c r="AE1" s="731" t="s">
        <v>1066</v>
      </c>
      <c r="AF1" s="707"/>
      <c r="AG1" s="707"/>
    </row>
    <row r="2" spans="1:33" x14ac:dyDescent="0.25">
      <c r="A2" s="6" t="s">
        <v>225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2" si="1">I2*H2-J2</f>
        <v>2890.94</v>
      </c>
      <c r="L2" s="72">
        <v>42810</v>
      </c>
      <c r="M2" s="43">
        <v>27.5</v>
      </c>
      <c r="O2" s="11" t="s">
        <v>57</v>
      </c>
      <c r="Q2">
        <f>C32-H32</f>
        <v>300</v>
      </c>
      <c r="X2" s="736"/>
      <c r="Z2" s="708" t="s">
        <v>758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(F32-K32-M32)/Q2)</f>
        <v>14.744499999999874</v>
      </c>
      <c r="U3" t="s">
        <v>731</v>
      </c>
      <c r="V3" s="22" t="s">
        <v>730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28.36</v>
      </c>
      <c r="R4" s="494">
        <v>8.2000000000000007E-3</v>
      </c>
      <c r="Z4" s="710" t="s">
        <v>725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8508</v>
      </c>
      <c r="Z5" s="711" t="s">
        <v>718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4423.3499999999622</v>
      </c>
      <c r="U6" s="770">
        <v>43150</v>
      </c>
      <c r="V6" t="s">
        <v>82</v>
      </c>
      <c r="Z6" s="712" t="s">
        <v>711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5536.9100000000362</v>
      </c>
      <c r="R7">
        <v>100</v>
      </c>
      <c r="V7" t="s">
        <v>975</v>
      </c>
      <c r="Z7" s="712" t="s">
        <v>747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4084.6500000000378</v>
      </c>
      <c r="Z8" s="712" t="s">
        <v>719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208</v>
      </c>
      <c r="Q9" s="134">
        <f>IF(Q2=0, 0, Q8/Q6)</f>
        <v>0.92342907524841411</v>
      </c>
      <c r="Z9" s="712" t="s">
        <v>720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207</v>
      </c>
      <c r="P10" s="33"/>
      <c r="Q10" s="2">
        <f>M152</f>
        <v>1452.2599999999984</v>
      </c>
      <c r="U10" s="1">
        <v>43227</v>
      </c>
      <c r="V10" t="s">
        <v>82</v>
      </c>
      <c r="Z10" s="712" t="s">
        <v>737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26" si="3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3.526093088857546E-3</v>
      </c>
      <c r="R11">
        <f>0.025</f>
        <v>2.5000000000000001E-2</v>
      </c>
      <c r="V11" t="s">
        <v>1065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946</v>
      </c>
      <c r="Q12" s="1"/>
      <c r="Z12" s="712" t="s">
        <v>714</v>
      </c>
      <c r="AA12" s="714"/>
      <c r="AB12" s="719">
        <v>7.0000000000000007E-2</v>
      </c>
      <c r="AC12" s="719" t="s">
        <v>759</v>
      </c>
      <c r="AD12" s="732" t="s">
        <v>936</v>
      </c>
      <c r="AE12" s="831" t="s">
        <v>937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973</v>
      </c>
      <c r="Q13" s="2">
        <f>Q4/(1.4)</f>
        <v>20.25714285714286</v>
      </c>
      <c r="U13" s="1">
        <v>43234</v>
      </c>
      <c r="V13" t="s">
        <v>1112</v>
      </c>
      <c r="Z13" s="712" t="s">
        <v>721</v>
      </c>
      <c r="AA13" s="714"/>
      <c r="AB13" s="719">
        <v>0.09</v>
      </c>
      <c r="AC13" s="719"/>
      <c r="AD13" s="732" t="s">
        <v>937</v>
      </c>
      <c r="AE13" s="831" t="s">
        <v>1067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1111</v>
      </c>
      <c r="Q14" s="736">
        <v>0.20250000000000001</v>
      </c>
      <c r="V14" t="s">
        <v>1113</v>
      </c>
      <c r="Z14" s="712" t="s">
        <v>745</v>
      </c>
      <c r="AA14" s="720">
        <v>0.08</v>
      </c>
      <c r="AB14" s="830">
        <f>AB17/AB22</f>
        <v>8.3854818523153948E-2</v>
      </c>
      <c r="AC14" s="729">
        <f t="shared" ref="AC14" si="4"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715</v>
      </c>
      <c r="AA15" s="714"/>
      <c r="AB15" s="676"/>
      <c r="AC15" s="676"/>
      <c r="AD15" s="676"/>
      <c r="AE15" s="676"/>
      <c r="AF15" s="676"/>
      <c r="AG15" s="676"/>
    </row>
    <row r="16" spans="1:33" ht="20.25" thickBot="1" x14ac:dyDescent="0.35">
      <c r="A16" t="s">
        <v>782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51" t="s">
        <v>78</v>
      </c>
      <c r="P16" s="851"/>
      <c r="Z16" s="712" t="s">
        <v>716</v>
      </c>
      <c r="AA16" s="714"/>
      <c r="AB16" s="676"/>
      <c r="AC16" s="676"/>
      <c r="AD16" s="676"/>
      <c r="AE16" s="676"/>
      <c r="AF16" s="676"/>
      <c r="AG16" s="676"/>
    </row>
    <row r="17" spans="1:33" ht="15.75" thickTop="1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3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O17" s="81">
        <v>1.1000000000000001</v>
      </c>
      <c r="P17" s="81">
        <f>O17*$Q$4</f>
        <v>31.196000000000002</v>
      </c>
      <c r="U17" s="1">
        <v>43270</v>
      </c>
      <c r="V17" t="s">
        <v>1198</v>
      </c>
      <c r="Z17" s="712" t="s">
        <v>931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x14ac:dyDescent="0.25">
      <c r="B18" s="476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1">
        <v>1.0900000000000001</v>
      </c>
      <c r="P18" s="81">
        <f t="shared" ref="P18:P37" si="5">O18*$Q$4</f>
        <v>30.912400000000002</v>
      </c>
      <c r="V18" t="s">
        <v>1199</v>
      </c>
      <c r="Z18" s="676"/>
      <c r="AA18" s="714"/>
      <c r="AB18" s="676"/>
      <c r="AC18" s="676"/>
      <c r="AD18" s="676"/>
      <c r="AE18" s="676"/>
      <c r="AF18" s="676"/>
      <c r="AG18" s="676"/>
    </row>
    <row r="19" spans="1:33" x14ac:dyDescent="0.25">
      <c r="A19" t="s">
        <v>782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3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1.08</v>
      </c>
      <c r="P19" s="81">
        <f t="shared" si="5"/>
        <v>30.628800000000002</v>
      </c>
      <c r="Z19" s="712" t="s">
        <v>726</v>
      </c>
      <c r="AA19" s="717" t="s">
        <v>729</v>
      </c>
      <c r="AB19" s="712" t="s">
        <v>729</v>
      </c>
      <c r="AC19" s="712" t="s">
        <v>729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3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1.07</v>
      </c>
      <c r="P20" s="81">
        <f t="shared" si="5"/>
        <v>30.345200000000002</v>
      </c>
      <c r="U20" s="156">
        <v>43313</v>
      </c>
      <c r="V20" t="s">
        <v>1197</v>
      </c>
      <c r="Z20" s="712" t="s">
        <v>727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3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1.06</v>
      </c>
      <c r="P21" s="81">
        <f t="shared" si="5"/>
        <v>30.061600000000002</v>
      </c>
      <c r="Z21" s="712" t="s">
        <v>747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3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1.05</v>
      </c>
      <c r="P22" s="81">
        <f t="shared" si="5"/>
        <v>29.778000000000002</v>
      </c>
      <c r="Z22" s="718" t="s">
        <v>744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3"/>
        <v>2405</v>
      </c>
      <c r="G23" s="29"/>
      <c r="H23" s="176"/>
      <c r="I23" s="3"/>
      <c r="J23" s="3"/>
      <c r="K23" s="3"/>
      <c r="O23" s="81">
        <v>1.04</v>
      </c>
      <c r="P23" s="81">
        <f t="shared" si="5"/>
        <v>29.494399999999999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3"/>
        <v>2702</v>
      </c>
      <c r="G24" s="29"/>
      <c r="O24" s="81">
        <v>1.03</v>
      </c>
      <c r="P24" s="81">
        <f t="shared" si="5"/>
        <v>29.210799999999999</v>
      </c>
      <c r="Z24" s="709" t="s">
        <v>710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7">
        <v>43228</v>
      </c>
      <c r="C25" s="4">
        <v>100</v>
      </c>
      <c r="D25" s="2">
        <v>26.08</v>
      </c>
      <c r="E25" s="2">
        <v>0</v>
      </c>
      <c r="F25" s="2">
        <f t="shared" si="3"/>
        <v>2608</v>
      </c>
      <c r="G25" s="29"/>
      <c r="O25" s="81">
        <v>1.02</v>
      </c>
      <c r="P25" s="81">
        <f t="shared" si="5"/>
        <v>28.927199999999999</v>
      </c>
      <c r="Z25" s="710" t="s">
        <v>722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735">
        <v>43270</v>
      </c>
      <c r="C26" s="4">
        <v>200</v>
      </c>
      <c r="D26" s="2">
        <v>28.2</v>
      </c>
      <c r="E26" s="2">
        <v>0</v>
      </c>
      <c r="F26" s="2">
        <f t="shared" si="3"/>
        <v>5640</v>
      </c>
      <c r="G26" s="29"/>
      <c r="O26" s="81">
        <v>1.01</v>
      </c>
      <c r="P26" s="81">
        <f t="shared" si="5"/>
        <v>28.643599999999999</v>
      </c>
      <c r="Z26" s="711" t="s">
        <v>723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29"/>
      <c r="C27" s="4"/>
      <c r="D27" s="3"/>
      <c r="E27" s="3"/>
      <c r="F27" s="3"/>
      <c r="G27" s="29"/>
      <c r="O27" s="81">
        <v>1</v>
      </c>
      <c r="P27" s="81">
        <f t="shared" si="5"/>
        <v>28.36</v>
      </c>
      <c r="Z27" s="712" t="s">
        <v>711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29"/>
      <c r="G28" s="29"/>
      <c r="O28" s="81">
        <v>0.99</v>
      </c>
      <c r="P28" s="81">
        <f t="shared" si="5"/>
        <v>28.0764</v>
      </c>
      <c r="Z28" s="712" t="s">
        <v>747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29"/>
      <c r="G29" s="29"/>
      <c r="O29" s="81">
        <v>0.98</v>
      </c>
      <c r="P29" s="81">
        <f t="shared" si="5"/>
        <v>27.7928</v>
      </c>
      <c r="Z29" s="712" t="s">
        <v>719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29"/>
      <c r="G30" s="29"/>
      <c r="O30" s="81">
        <v>0.97</v>
      </c>
      <c r="P30" s="81">
        <f t="shared" si="5"/>
        <v>27.5092</v>
      </c>
      <c r="Z30" s="712" t="s">
        <v>720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29"/>
      <c r="G31" s="29"/>
      <c r="O31" s="81">
        <v>0.96</v>
      </c>
      <c r="P31" s="81">
        <f t="shared" si="5"/>
        <v>27.2256</v>
      </c>
      <c r="Z31" s="712" t="s">
        <v>712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A32" s="31" t="s">
        <v>81</v>
      </c>
      <c r="B32" s="14"/>
      <c r="C32" s="14">
        <f>SUM(C2:C27)</f>
        <v>3350</v>
      </c>
      <c r="D32" s="18"/>
      <c r="E32" s="18"/>
      <c r="F32" s="18">
        <f>SUM(F2:F27)</f>
        <v>83092.62</v>
      </c>
      <c r="G32" s="14"/>
      <c r="H32" s="14">
        <f>SUM(H2:H31)</f>
        <v>3050</v>
      </c>
      <c r="I32" s="18"/>
      <c r="J32" s="18"/>
      <c r="K32" s="18">
        <f>SUM(K2:K31)</f>
        <v>78384.270000000033</v>
      </c>
      <c r="L32" s="14"/>
      <c r="M32" s="18">
        <f>SUM(M2:M10)</f>
        <v>285</v>
      </c>
      <c r="O32" s="81">
        <v>0.95</v>
      </c>
      <c r="P32" s="81">
        <f t="shared" si="5"/>
        <v>26.941999999999997</v>
      </c>
      <c r="Z32" s="676"/>
      <c r="AA32" s="714"/>
      <c r="AB32" s="676"/>
      <c r="AC32" s="676"/>
      <c r="AD32" s="676"/>
      <c r="AE32" s="676"/>
      <c r="AF32" s="676"/>
      <c r="AG32" s="676"/>
    </row>
    <row r="33" spans="1:33" ht="15.75" thickBot="1" x14ac:dyDescent="0.3">
      <c r="A33" s="341" t="s">
        <v>193</v>
      </c>
      <c r="B33" s="342"/>
      <c r="C33" s="343">
        <f>SumByColor($A$33,C2:C31)</f>
        <v>3050</v>
      </c>
      <c r="D33" s="343"/>
      <c r="E33" s="343"/>
      <c r="F33" s="344">
        <f>SumByColor($A$33,F2:F31)</f>
        <v>74845</v>
      </c>
      <c r="G33" s="343"/>
      <c r="H33" s="343">
        <f>SumByColor($A$33,H2:H31)</f>
        <v>3050</v>
      </c>
      <c r="I33" s="343"/>
      <c r="J33" s="343"/>
      <c r="K33" s="344">
        <f>SumByColor($A$33,K2:K31)</f>
        <v>78386</v>
      </c>
      <c r="L33" s="343"/>
      <c r="M33" s="344">
        <f>SumByColor($A$33,M2:M31)</f>
        <v>286</v>
      </c>
      <c r="O33" s="81">
        <v>0.94</v>
      </c>
      <c r="P33" s="81">
        <f t="shared" si="5"/>
        <v>26.658399999999997</v>
      </c>
      <c r="Z33" s="712" t="s">
        <v>714</v>
      </c>
      <c r="AA33" s="714"/>
      <c r="AB33" s="719">
        <v>0.15</v>
      </c>
      <c r="AC33" s="732" t="s">
        <v>760</v>
      </c>
      <c r="AD33" s="732" t="s">
        <v>934</v>
      </c>
      <c r="AE33" s="732" t="s">
        <v>934</v>
      </c>
      <c r="AF33" s="676"/>
      <c r="AG33" s="676"/>
    </row>
    <row r="34" spans="1:33" x14ac:dyDescent="0.25">
      <c r="O34" s="81">
        <v>0.93</v>
      </c>
      <c r="P34" s="81">
        <f t="shared" si="5"/>
        <v>26.3748</v>
      </c>
      <c r="Z34" s="712" t="s">
        <v>721</v>
      </c>
      <c r="AA34" s="714"/>
      <c r="AB34" s="719">
        <v>0.18</v>
      </c>
      <c r="AC34" s="719"/>
      <c r="AD34" s="732" t="s">
        <v>935</v>
      </c>
      <c r="AE34" s="732" t="s">
        <v>935</v>
      </c>
      <c r="AF34" s="676"/>
      <c r="AG34" s="676"/>
    </row>
    <row r="35" spans="1:33" x14ac:dyDescent="0.25">
      <c r="O35" s="81">
        <v>0.92</v>
      </c>
      <c r="P35" s="81">
        <f t="shared" si="5"/>
        <v>26.091200000000001</v>
      </c>
      <c r="Z35" s="712" t="s">
        <v>745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484" t="s">
        <v>113</v>
      </c>
      <c r="C36" s="484" t="s">
        <v>146</v>
      </c>
      <c r="D36" s="485" t="s">
        <v>145</v>
      </c>
      <c r="E36" s="486" t="s">
        <v>147</v>
      </c>
      <c r="F36" s="486" t="s">
        <v>65</v>
      </c>
      <c r="G36" s="488" t="s">
        <v>151</v>
      </c>
      <c r="H36" s="488" t="s">
        <v>88</v>
      </c>
      <c r="I36" s="488" t="s">
        <v>154</v>
      </c>
      <c r="J36" s="488" t="s">
        <v>497</v>
      </c>
      <c r="K36" s="488" t="s">
        <v>150</v>
      </c>
      <c r="L36" s="488" t="s">
        <v>973</v>
      </c>
      <c r="O36" s="81">
        <v>0.91</v>
      </c>
      <c r="P36" s="81">
        <f t="shared" si="5"/>
        <v>25.807600000000001</v>
      </c>
      <c r="Z36" s="712" t="s">
        <v>715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B37" s="522">
        <v>42754</v>
      </c>
      <c r="C37" s="526">
        <v>100</v>
      </c>
      <c r="D37" s="527">
        <v>27.58</v>
      </c>
      <c r="E37" s="527">
        <v>30.25</v>
      </c>
      <c r="F37" s="527">
        <f t="shared" ref="F37:F42" si="6">C37*(E37-D37)</f>
        <v>267.00000000000017</v>
      </c>
      <c r="G37" s="527">
        <f t="shared" ref="G37:G42" si="7">D37*C37</f>
        <v>2758</v>
      </c>
      <c r="H37" s="568">
        <f t="shared" ref="H37:H42" si="8">(E37-D37)/D37</f>
        <v>9.6809282088469978E-2</v>
      </c>
      <c r="I37" s="527"/>
      <c r="J37" s="527"/>
      <c r="K37" s="527"/>
      <c r="L37" s="527"/>
      <c r="O37" s="81">
        <v>0.9</v>
      </c>
      <c r="P37" s="81">
        <f t="shared" si="5"/>
        <v>25.524000000000001</v>
      </c>
      <c r="Z37" s="712" t="s">
        <v>716</v>
      </c>
      <c r="AA37" s="714"/>
      <c r="AB37" s="676"/>
      <c r="AC37" s="676"/>
      <c r="AD37" s="676"/>
      <c r="AE37" s="676"/>
      <c r="AF37" s="676"/>
      <c r="AG37" s="676"/>
    </row>
    <row r="38" spans="1:33" x14ac:dyDescent="0.25">
      <c r="B38" s="522">
        <v>42758</v>
      </c>
      <c r="C38" s="526">
        <v>100</v>
      </c>
      <c r="D38" s="527">
        <v>27.180700000000002</v>
      </c>
      <c r="E38" s="527">
        <v>31.55</v>
      </c>
      <c r="F38" s="527">
        <f t="shared" si="6"/>
        <v>436.92999999999989</v>
      </c>
      <c r="G38" s="527">
        <f t="shared" si="7"/>
        <v>2718.07</v>
      </c>
      <c r="H38" s="568">
        <f t="shared" si="8"/>
        <v>0.16075009105725749</v>
      </c>
      <c r="I38" s="527"/>
      <c r="J38" s="527"/>
      <c r="K38" s="527"/>
      <c r="L38" s="527"/>
      <c r="Z38" s="712" t="s">
        <v>746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A39" t="s">
        <v>348</v>
      </c>
      <c r="B39" s="184">
        <v>42758</v>
      </c>
      <c r="C39" s="10">
        <v>100</v>
      </c>
      <c r="D39" s="39">
        <v>31.18</v>
      </c>
      <c r="E39" s="39">
        <v>31.55</v>
      </c>
      <c r="F39" s="39">
        <f t="shared" si="6"/>
        <v>37.000000000000099</v>
      </c>
      <c r="G39" s="39">
        <f t="shared" si="7"/>
        <v>3118</v>
      </c>
      <c r="H39" s="222">
        <f t="shared" si="8"/>
        <v>1.1866581141757569E-2</v>
      </c>
      <c r="I39" s="39"/>
      <c r="J39" s="39"/>
      <c r="K39" s="39"/>
      <c r="L39" s="39"/>
      <c r="Z39" s="712" t="s">
        <v>726</v>
      </c>
      <c r="AA39" s="717" t="s">
        <v>738</v>
      </c>
      <c r="AB39" s="712" t="s">
        <v>729</v>
      </c>
      <c r="AC39" s="712" t="s">
        <v>761</v>
      </c>
      <c r="AD39" s="712"/>
      <c r="AE39" s="712"/>
      <c r="AF39" s="676"/>
      <c r="AG39" s="676"/>
    </row>
    <row r="40" spans="1:33" x14ac:dyDescent="0.25">
      <c r="A40" t="s">
        <v>348</v>
      </c>
      <c r="B40" s="184">
        <v>42760</v>
      </c>
      <c r="C40" s="10">
        <v>100</v>
      </c>
      <c r="D40" s="39">
        <v>31.18</v>
      </c>
      <c r="E40" s="39">
        <v>33.26</v>
      </c>
      <c r="F40" s="39">
        <f t="shared" si="6"/>
        <v>207.99999999999983</v>
      </c>
      <c r="G40" s="39">
        <f t="shared" si="7"/>
        <v>3118</v>
      </c>
      <c r="H40" s="222">
        <f t="shared" si="8"/>
        <v>6.6709429121231498E-2</v>
      </c>
      <c r="I40" s="39"/>
      <c r="J40" s="39"/>
      <c r="K40" s="39"/>
      <c r="L40" s="39"/>
      <c r="Z40" s="712" t="s">
        <v>727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A41" t="s">
        <v>338</v>
      </c>
      <c r="B41" s="184">
        <v>42787</v>
      </c>
      <c r="C41" s="10">
        <v>100</v>
      </c>
      <c r="D41" s="39">
        <v>31.18</v>
      </c>
      <c r="E41" s="39">
        <v>33.64</v>
      </c>
      <c r="F41" s="39">
        <f t="shared" si="6"/>
        <v>246.00000000000009</v>
      </c>
      <c r="G41" s="39">
        <f t="shared" si="7"/>
        <v>3118</v>
      </c>
      <c r="H41" s="222">
        <f t="shared" si="8"/>
        <v>7.8896728672225816E-2</v>
      </c>
      <c r="I41" s="39"/>
      <c r="J41" s="39"/>
      <c r="K41" s="39"/>
      <c r="L41" s="39"/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A42">
        <v>100</v>
      </c>
      <c r="B42" s="184">
        <v>42808</v>
      </c>
      <c r="C42" s="228">
        <v>200</v>
      </c>
      <c r="D42" s="229">
        <v>29.83</v>
      </c>
      <c r="E42" s="39">
        <v>28.6</v>
      </c>
      <c r="F42" s="39">
        <f t="shared" si="6"/>
        <v>-245.99999999999937</v>
      </c>
      <c r="G42" s="39">
        <f t="shared" si="7"/>
        <v>5966</v>
      </c>
      <c r="H42" s="222">
        <f t="shared" si="8"/>
        <v>-4.1233657391887259E-2</v>
      </c>
      <c r="I42" s="39"/>
      <c r="J42" s="39">
        <v>30.72</v>
      </c>
      <c r="K42" s="39">
        <v>1207</v>
      </c>
      <c r="L42" s="39"/>
      <c r="Q42" s="2"/>
      <c r="Z42" s="718" t="s">
        <v>744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A43">
        <v>0</v>
      </c>
      <c r="B43" s="184">
        <v>42809</v>
      </c>
      <c r="C43" s="10">
        <v>100</v>
      </c>
      <c r="D43" s="39">
        <v>30.750599999999999</v>
      </c>
      <c r="E43" s="39">
        <v>29.14</v>
      </c>
      <c r="F43" s="39">
        <f t="shared" ref="F43" si="9">C43*(E43-D43)</f>
        <v>-161.0599999999998</v>
      </c>
      <c r="G43" s="39">
        <f t="shared" ref="G43" si="10">D43*C43</f>
        <v>3075.06</v>
      </c>
      <c r="H43" s="222">
        <f t="shared" ref="H43" si="11">(E43-D43)/D43</f>
        <v>-5.2376213797454295E-2</v>
      </c>
      <c r="I43" s="39"/>
      <c r="J43" s="39"/>
      <c r="K43" s="39">
        <v>1291</v>
      </c>
      <c r="L43" s="39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>
        <v>0</v>
      </c>
      <c r="B44" s="184">
        <v>42811</v>
      </c>
      <c r="C44" s="10">
        <v>100</v>
      </c>
      <c r="D44" s="39">
        <v>30.4756</v>
      </c>
      <c r="E44" s="39">
        <v>29.17</v>
      </c>
      <c r="F44" s="39">
        <f t="shared" ref="F44:F57" si="12">C44*(E44-D44)</f>
        <v>-130.55999999999983</v>
      </c>
      <c r="G44" s="39">
        <f t="shared" ref="G44:G57" si="13">D44*C44</f>
        <v>3047.56</v>
      </c>
      <c r="H44" s="222">
        <f t="shared" ref="H44:H57" si="14">(E44-D44)/D44</f>
        <v>-4.2840830041081988E-2</v>
      </c>
      <c r="I44" s="39"/>
      <c r="J44" s="39">
        <v>30</v>
      </c>
      <c r="K44" s="39">
        <v>1321</v>
      </c>
      <c r="L44" s="39"/>
      <c r="Q44" s="2"/>
      <c r="Z44" s="709" t="s">
        <v>1068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>
        <v>0</v>
      </c>
      <c r="B45" s="184">
        <v>42836</v>
      </c>
      <c r="C45" s="228">
        <v>200</v>
      </c>
      <c r="D45" s="229">
        <v>29.412800000000001</v>
      </c>
      <c r="E45" s="39">
        <v>28.69</v>
      </c>
      <c r="F45" s="39">
        <f t="shared" si="12"/>
        <v>-144.55999999999989</v>
      </c>
      <c r="G45" s="39">
        <f t="shared" si="13"/>
        <v>5882.56</v>
      </c>
      <c r="H45" s="222">
        <f t="shared" si="14"/>
        <v>-2.4574334983408566E-2</v>
      </c>
      <c r="I45" s="39">
        <v>29</v>
      </c>
      <c r="J45" s="39"/>
      <c r="K45" s="39">
        <v>1308</v>
      </c>
      <c r="L45" s="39"/>
      <c r="Q45" s="2"/>
      <c r="Z45" s="712" t="s">
        <v>719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>
        <v>100</v>
      </c>
      <c r="B46" s="184">
        <v>42857</v>
      </c>
      <c r="C46" s="10">
        <v>300</v>
      </c>
      <c r="D46" s="39">
        <v>27.9452</v>
      </c>
      <c r="E46" s="39">
        <v>24.95</v>
      </c>
      <c r="F46" s="39">
        <f t="shared" si="12"/>
        <v>-898.56000000000017</v>
      </c>
      <c r="G46" s="39">
        <f t="shared" si="13"/>
        <v>8383.56</v>
      </c>
      <c r="H46" s="222">
        <f t="shared" si="14"/>
        <v>-0.10718119748650932</v>
      </c>
      <c r="I46" s="39"/>
      <c r="J46" s="39"/>
      <c r="K46" s="39">
        <v>554</v>
      </c>
      <c r="L46" s="39"/>
      <c r="Q46" s="2"/>
      <c r="Z46" s="712" t="s">
        <v>720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100</v>
      </c>
      <c r="B47" s="184">
        <v>42858</v>
      </c>
      <c r="C47" s="7">
        <v>400</v>
      </c>
      <c r="D47" s="43">
        <v>26.953900000000001</v>
      </c>
      <c r="E47" s="39">
        <v>23.98</v>
      </c>
      <c r="F47" s="39">
        <f t="shared" si="12"/>
        <v>-1189.5600000000002</v>
      </c>
      <c r="G47" s="39">
        <f t="shared" si="13"/>
        <v>10781.56</v>
      </c>
      <c r="H47" s="222">
        <f t="shared" si="14"/>
        <v>-0.11033282753145186</v>
      </c>
      <c r="I47" s="39"/>
      <c r="J47" s="39"/>
      <c r="K47" s="39"/>
      <c r="L47" s="39"/>
      <c r="Q47" s="2"/>
      <c r="Z47" s="712" t="s">
        <v>712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100</v>
      </c>
      <c r="B48" s="184">
        <v>42862</v>
      </c>
      <c r="C48" s="10">
        <v>400</v>
      </c>
      <c r="D48" s="39">
        <v>26.953900000000001</v>
      </c>
      <c r="E48" s="39">
        <v>23.45</v>
      </c>
      <c r="F48" s="39">
        <f t="shared" si="12"/>
        <v>-1401.5600000000006</v>
      </c>
      <c r="G48" s="39">
        <f t="shared" si="13"/>
        <v>10781.56</v>
      </c>
      <c r="H48" s="222">
        <f t="shared" si="14"/>
        <v>-0.12999603025907203</v>
      </c>
      <c r="I48" s="39"/>
      <c r="J48" s="39"/>
      <c r="K48" s="39">
        <v>50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200</v>
      </c>
      <c r="B49" s="184">
        <v>42867</v>
      </c>
      <c r="C49" s="10">
        <v>600</v>
      </c>
      <c r="D49" s="39">
        <v>25.63</v>
      </c>
      <c r="E49" s="39">
        <v>22.91</v>
      </c>
      <c r="F49" s="39">
        <f t="shared" si="12"/>
        <v>-1631.9999999999993</v>
      </c>
      <c r="G49" s="39">
        <f t="shared" si="13"/>
        <v>15378</v>
      </c>
      <c r="H49" s="222">
        <f t="shared" si="14"/>
        <v>-0.10612563402262969</v>
      </c>
      <c r="I49" s="39"/>
      <c r="J49" s="39"/>
      <c r="K49" s="39">
        <v>-179</v>
      </c>
      <c r="L49" s="39"/>
      <c r="Q49" s="2"/>
      <c r="Z49" s="712" t="s">
        <v>717</v>
      </c>
      <c r="AA49" s="714">
        <v>20</v>
      </c>
      <c r="AB49" s="712" t="s">
        <v>752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B50" s="184">
        <v>42898</v>
      </c>
      <c r="C50" s="10">
        <v>400</v>
      </c>
      <c r="D50" s="39">
        <v>26.354199999999999</v>
      </c>
      <c r="E50" s="39">
        <v>23.55</v>
      </c>
      <c r="F50" s="39">
        <f t="shared" si="12"/>
        <v>-1121.6799999999992</v>
      </c>
      <c r="G50" s="39">
        <f t="shared" si="13"/>
        <v>10541.68</v>
      </c>
      <c r="H50" s="222">
        <f t="shared" si="14"/>
        <v>-0.1064042922949662</v>
      </c>
      <c r="I50" s="39"/>
      <c r="J50" s="39"/>
      <c r="K50" s="39">
        <v>331</v>
      </c>
      <c r="L50" s="39"/>
      <c r="Q50" s="2"/>
      <c r="Z50" s="712" t="s">
        <v>724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400</v>
      </c>
      <c r="B51" s="184">
        <v>42900</v>
      </c>
      <c r="C51" s="10">
        <v>600</v>
      </c>
      <c r="D51" s="39">
        <v>25.296099999999999</v>
      </c>
      <c r="E51" s="39">
        <v>22.74</v>
      </c>
      <c r="F51" s="39">
        <f t="shared" si="12"/>
        <v>-1533.6600000000003</v>
      </c>
      <c r="G51" s="39">
        <f t="shared" si="13"/>
        <v>15177.66</v>
      </c>
      <c r="H51" s="222">
        <f t="shared" si="14"/>
        <v>-0.10104719699874687</v>
      </c>
      <c r="I51" s="39"/>
      <c r="J51" s="39"/>
      <c r="K51" s="39">
        <v>-81.41</v>
      </c>
      <c r="L51" s="39"/>
      <c r="Q51" s="2"/>
      <c r="Z51" s="712" t="s">
        <v>748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400</v>
      </c>
      <c r="B52" s="184">
        <v>42904</v>
      </c>
      <c r="C52" s="10">
        <v>600</v>
      </c>
      <c r="D52" s="39">
        <v>25.146100000000001</v>
      </c>
      <c r="E52" s="39">
        <v>22.71</v>
      </c>
      <c r="F52" s="39">
        <f t="shared" si="12"/>
        <v>-1461.6599999999999</v>
      </c>
      <c r="G52" s="39">
        <f t="shared" si="13"/>
        <v>15087.66</v>
      </c>
      <c r="H52" s="222">
        <f t="shared" si="14"/>
        <v>-9.6877845868743054E-2</v>
      </c>
      <c r="I52" s="39"/>
      <c r="J52" s="39"/>
      <c r="K52" s="39">
        <v>-9.41</v>
      </c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200</v>
      </c>
      <c r="B53" s="184">
        <v>42926</v>
      </c>
      <c r="C53" s="10">
        <v>400</v>
      </c>
      <c r="D53" s="39">
        <v>25.644500000000001</v>
      </c>
      <c r="E53" s="39">
        <v>24.11</v>
      </c>
      <c r="F53" s="39">
        <f t="shared" si="12"/>
        <v>-613.80000000000052</v>
      </c>
      <c r="G53" s="39">
        <f t="shared" si="13"/>
        <v>10257.800000000001</v>
      </c>
      <c r="H53" s="222">
        <f t="shared" si="14"/>
        <v>-5.9837392033379525E-2</v>
      </c>
      <c r="I53" s="39"/>
      <c r="J53" s="39"/>
      <c r="K53" s="39">
        <v>836</v>
      </c>
      <c r="L53" s="39"/>
      <c r="Q53" s="2"/>
      <c r="Z53" s="712" t="s">
        <v>746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B54" s="184">
        <v>42940</v>
      </c>
      <c r="C54" s="10">
        <v>600</v>
      </c>
      <c r="D54" s="39">
        <v>24.86</v>
      </c>
      <c r="E54" s="39">
        <v>24.22</v>
      </c>
      <c r="F54" s="39">
        <f t="shared" si="12"/>
        <v>-384.00000000000034</v>
      </c>
      <c r="G54" s="39">
        <f t="shared" si="13"/>
        <v>14916</v>
      </c>
      <c r="H54" s="222">
        <f t="shared" si="14"/>
        <v>-2.5744167337087714E-2</v>
      </c>
      <c r="I54" s="39"/>
      <c r="J54" s="39"/>
      <c r="K54" s="39">
        <v>1066</v>
      </c>
      <c r="L54" s="39"/>
      <c r="Z54" s="712" t="s">
        <v>749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A55">
        <v>200</v>
      </c>
      <c r="B55" s="184">
        <v>42941</v>
      </c>
      <c r="C55" s="7">
        <v>400</v>
      </c>
      <c r="D55" s="43">
        <v>24.794799999999999</v>
      </c>
      <c r="E55" s="39">
        <v>24.22</v>
      </c>
      <c r="F55" s="39">
        <f t="shared" si="12"/>
        <v>-229.9199999999999</v>
      </c>
      <c r="G55" s="39">
        <f t="shared" si="13"/>
        <v>9917.92</v>
      </c>
      <c r="H55" s="222">
        <f t="shared" si="14"/>
        <v>-2.3182280155516471E-2</v>
      </c>
      <c r="I55" s="39">
        <v>23</v>
      </c>
      <c r="J55" s="39"/>
      <c r="K55" s="39">
        <v>1222</v>
      </c>
      <c r="L55" s="39"/>
      <c r="Z55" s="712" t="s">
        <v>750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200</v>
      </c>
      <c r="B56" s="184">
        <v>42942</v>
      </c>
      <c r="C56" s="10">
        <v>600</v>
      </c>
      <c r="D56" s="39">
        <v>24.623000000000001</v>
      </c>
      <c r="E56" s="39">
        <v>23.6</v>
      </c>
      <c r="F56" s="39">
        <f t="shared" si="12"/>
        <v>-613.79999999999984</v>
      </c>
      <c r="G56" s="39">
        <f t="shared" si="13"/>
        <v>14773.800000000001</v>
      </c>
      <c r="H56" s="222">
        <f t="shared" si="14"/>
        <v>-4.1546521544897033E-2</v>
      </c>
      <c r="I56" s="39"/>
      <c r="J56" s="39"/>
      <c r="K56" s="39">
        <v>838</v>
      </c>
      <c r="L56" s="39"/>
      <c r="Z56" s="722" t="s">
        <v>751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B57" s="184">
        <v>42948</v>
      </c>
      <c r="C57" s="10">
        <v>800</v>
      </c>
      <c r="D57" s="39">
        <v>24.087399999999999</v>
      </c>
      <c r="E57" s="39">
        <v>22.75</v>
      </c>
      <c r="F57" s="39">
        <f t="shared" si="12"/>
        <v>-1069.9199999999992</v>
      </c>
      <c r="G57" s="39">
        <f t="shared" si="13"/>
        <v>19269.919999999998</v>
      </c>
      <c r="H57" s="222">
        <f t="shared" si="14"/>
        <v>-5.5522804453780765E-2</v>
      </c>
      <c r="I57" s="39"/>
      <c r="J57" s="39"/>
      <c r="K57" s="39"/>
      <c r="L57" s="39"/>
      <c r="Z57" s="718" t="s">
        <v>744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800</v>
      </c>
      <c r="B58" s="184">
        <v>42983</v>
      </c>
      <c r="C58" s="10">
        <v>900</v>
      </c>
      <c r="D58" s="39">
        <v>23.59</v>
      </c>
      <c r="E58" s="39">
        <v>19.46</v>
      </c>
      <c r="F58" s="39">
        <f t="shared" ref="F58" si="15">C58*(E58-D58)</f>
        <v>-3716.9999999999991</v>
      </c>
      <c r="G58" s="39">
        <f t="shared" ref="G58" si="16">D58*C58</f>
        <v>21231</v>
      </c>
      <c r="H58" s="222">
        <f t="shared" ref="H58" si="17">(E58-D58)/D58</f>
        <v>-0.17507418397626109</v>
      </c>
      <c r="I58" s="39"/>
      <c r="J58" s="39"/>
      <c r="K58" s="39">
        <v>-2264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A59">
        <v>700</v>
      </c>
      <c r="B59" s="184">
        <v>42984</v>
      </c>
      <c r="C59" s="425">
        <v>800</v>
      </c>
      <c r="D59" s="426">
        <v>24.0657</v>
      </c>
      <c r="E59" s="39">
        <v>19.78</v>
      </c>
      <c r="F59" s="39">
        <f t="shared" ref="F59" si="18">C59*(E59-D59)</f>
        <v>-3428.5599999999986</v>
      </c>
      <c r="G59" s="39">
        <f t="shared" ref="G59" si="19">D59*C59</f>
        <v>19252.560000000001</v>
      </c>
      <c r="H59" s="222">
        <f t="shared" ref="H59" si="20">(E59-D59)/D59</f>
        <v>-0.17808333021686459</v>
      </c>
      <c r="I59" s="39">
        <v>23.5</v>
      </c>
      <c r="J59" s="39"/>
      <c r="K59" s="39">
        <v>-2128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700</v>
      </c>
      <c r="B60" s="184">
        <v>42996</v>
      </c>
      <c r="C60" s="10">
        <v>800</v>
      </c>
      <c r="D60" s="39">
        <v>24.0657</v>
      </c>
      <c r="E60" s="39">
        <v>21.31</v>
      </c>
      <c r="F60" s="39">
        <f t="shared" ref="F60:F62" si="21">C60*(E60-D60)</f>
        <v>-2204.5600000000009</v>
      </c>
      <c r="G60" s="39">
        <f t="shared" ref="G60:G62" si="22">D60*C60</f>
        <v>19252.560000000001</v>
      </c>
      <c r="H60" s="222">
        <f t="shared" ref="H60:H62" si="23">(E60-D60)/D60</f>
        <v>-0.11450736940957466</v>
      </c>
      <c r="I60" s="39">
        <v>23.5</v>
      </c>
      <c r="J60" s="39"/>
      <c r="K60" s="39">
        <v>-752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700</v>
      </c>
      <c r="B61" s="184">
        <v>42999</v>
      </c>
      <c r="C61" s="425">
        <v>800</v>
      </c>
      <c r="D61" s="426">
        <v>23.896999999999998</v>
      </c>
      <c r="E61" s="39">
        <v>21.59</v>
      </c>
      <c r="F61" s="39">
        <f t="shared" si="21"/>
        <v>-1845.599999999999</v>
      </c>
      <c r="G61" s="39">
        <f t="shared" si="22"/>
        <v>19117.599999999999</v>
      </c>
      <c r="H61" s="222">
        <f t="shared" si="23"/>
        <v>-9.6539314558312703E-2</v>
      </c>
      <c r="I61" s="39">
        <v>23.5</v>
      </c>
      <c r="J61" s="39"/>
      <c r="K61" s="39">
        <v>-393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B62" s="184">
        <v>43023</v>
      </c>
      <c r="C62" s="10">
        <v>800</v>
      </c>
      <c r="D62" s="39">
        <v>23.9</v>
      </c>
      <c r="E62" s="39">
        <v>21.78</v>
      </c>
      <c r="F62" s="39">
        <f t="shared" si="21"/>
        <v>-1695.999999999998</v>
      </c>
      <c r="G62" s="39">
        <f t="shared" si="22"/>
        <v>19120</v>
      </c>
      <c r="H62" s="222">
        <f t="shared" si="23"/>
        <v>-8.8702928870292783E-2</v>
      </c>
      <c r="I62" s="39"/>
      <c r="J62" s="39">
        <v>61</v>
      </c>
      <c r="K62" s="39">
        <v>-241</v>
      </c>
      <c r="L62" s="39"/>
      <c r="Z62" s="713" t="s">
        <v>742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800</v>
      </c>
      <c r="B63" s="184">
        <v>43031</v>
      </c>
      <c r="C63" s="10">
        <v>800</v>
      </c>
      <c r="D63" s="39">
        <v>23.9</v>
      </c>
      <c r="E63" s="39">
        <v>21.03</v>
      </c>
      <c r="F63" s="39">
        <f t="shared" ref="F63" si="24">C63*(E63-D63)</f>
        <v>-2295.9999999999982</v>
      </c>
      <c r="G63" s="39">
        <f t="shared" ref="G63" si="25">D63*C63</f>
        <v>19120</v>
      </c>
      <c r="H63" s="222">
        <f t="shared" ref="H63" si="26">(E63-D63)/D63</f>
        <v>-0.1200836820083681</v>
      </c>
      <c r="I63" s="39"/>
      <c r="J63" s="39"/>
      <c r="K63" s="39">
        <v>-841</v>
      </c>
      <c r="L63" s="39"/>
      <c r="Z63" s="713" t="s">
        <v>740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A64">
        <v>800</v>
      </c>
      <c r="B64" s="184">
        <v>43050</v>
      </c>
      <c r="C64" s="10">
        <v>800</v>
      </c>
      <c r="D64" s="39">
        <v>23.9</v>
      </c>
      <c r="E64" s="39">
        <v>22.84</v>
      </c>
      <c r="F64" s="39">
        <f t="shared" ref="F64:F65" si="27">C64*(E64-D64)</f>
        <v>-847.99999999999898</v>
      </c>
      <c r="G64" s="39">
        <f t="shared" ref="G64:G65" si="28">D64*C64</f>
        <v>19120</v>
      </c>
      <c r="H64" s="222">
        <f t="shared" ref="H64:H65" si="29">(E64-D64)/D64</f>
        <v>-4.4351464435146391E-2</v>
      </c>
      <c r="I64" s="39"/>
      <c r="J64" s="39">
        <v>60.22</v>
      </c>
      <c r="K64" s="39">
        <v>607</v>
      </c>
      <c r="L64" s="39"/>
      <c r="Z64" s="713" t="s">
        <v>739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500</v>
      </c>
      <c r="B65" s="184">
        <v>43068</v>
      </c>
      <c r="C65" s="10">
        <v>500</v>
      </c>
      <c r="D65" s="39">
        <v>23.4815</v>
      </c>
      <c r="E65" s="39">
        <v>24.39</v>
      </c>
      <c r="F65" s="39">
        <f t="shared" si="27"/>
        <v>454.25000000000006</v>
      </c>
      <c r="G65" s="39">
        <f t="shared" si="28"/>
        <v>11740.75</v>
      </c>
      <c r="H65" s="222">
        <f t="shared" si="29"/>
        <v>3.8690032578838664E-2</v>
      </c>
      <c r="I65" s="39"/>
      <c r="J65" s="39"/>
      <c r="K65" s="39">
        <v>1907</v>
      </c>
      <c r="L65" s="39"/>
      <c r="Z65" s="713" t="s">
        <v>938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500</v>
      </c>
      <c r="B66" s="184">
        <v>43081</v>
      </c>
      <c r="C66" s="10">
        <v>500</v>
      </c>
      <c r="D66" s="39">
        <v>23.4815</v>
      </c>
      <c r="E66" s="39">
        <v>24.82</v>
      </c>
      <c r="F66" s="39">
        <f t="shared" ref="F66:F69" si="30">C66*(E66-D66)</f>
        <v>669.24999999999989</v>
      </c>
      <c r="G66" s="39">
        <f t="shared" ref="G66:G69" si="31">D66*C66</f>
        <v>11740.75</v>
      </c>
      <c r="H66" s="222">
        <f t="shared" ref="H66:H69" si="32">(E66-D66)/D66</f>
        <v>5.7002320976087546E-2</v>
      </c>
      <c r="I66" s="39"/>
      <c r="J66" s="39"/>
      <c r="K66" s="39">
        <v>2121</v>
      </c>
      <c r="L66" s="39"/>
      <c r="Z66" s="713" t="s">
        <v>741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A67">
        <v>450</v>
      </c>
      <c r="B67" s="184">
        <v>43090</v>
      </c>
      <c r="C67" s="10">
        <v>450</v>
      </c>
      <c r="D67" s="39">
        <v>23.29</v>
      </c>
      <c r="E67" s="39">
        <v>25.23</v>
      </c>
      <c r="F67" s="39">
        <f t="shared" si="30"/>
        <v>873.00000000000057</v>
      </c>
      <c r="G67" s="39">
        <f t="shared" si="31"/>
        <v>10480.5</v>
      </c>
      <c r="H67" s="222">
        <f t="shared" si="32"/>
        <v>8.3297552597681471E-2</v>
      </c>
      <c r="I67" s="39"/>
      <c r="J67" s="39">
        <v>68</v>
      </c>
      <c r="K67" s="39">
        <v>2324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400</v>
      </c>
      <c r="B68" s="184">
        <v>43102</v>
      </c>
      <c r="C68" s="7">
        <v>400</v>
      </c>
      <c r="D68" s="43">
        <v>22.85</v>
      </c>
      <c r="E68" s="39">
        <v>26.65</v>
      </c>
      <c r="F68" s="39">
        <f t="shared" si="30"/>
        <v>1519.9999999999989</v>
      </c>
      <c r="G68" s="39">
        <f t="shared" si="31"/>
        <v>9140</v>
      </c>
      <c r="H68" s="222">
        <f t="shared" si="32"/>
        <v>0.16630196936542657</v>
      </c>
      <c r="I68" s="746" t="s">
        <v>829</v>
      </c>
      <c r="J68" s="39"/>
      <c r="K68" s="39">
        <v>2972</v>
      </c>
      <c r="L68" s="39"/>
      <c r="Z68" s="713" t="s">
        <v>743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400</v>
      </c>
      <c r="B69" s="184">
        <v>43110</v>
      </c>
      <c r="C69" s="10">
        <v>400</v>
      </c>
      <c r="D69" s="39">
        <v>22.8508</v>
      </c>
      <c r="E69" s="39">
        <v>25.91</v>
      </c>
      <c r="F69" s="39">
        <f t="shared" si="30"/>
        <v>1223.6800000000003</v>
      </c>
      <c r="G69" s="39">
        <f t="shared" si="31"/>
        <v>9140.32</v>
      </c>
      <c r="H69" s="222">
        <f t="shared" si="32"/>
        <v>0.13387715090937738</v>
      </c>
      <c r="I69" s="39"/>
      <c r="J69" s="39"/>
      <c r="K69" s="39">
        <v>2676</v>
      </c>
      <c r="L69" s="39"/>
      <c r="Z69" s="713" t="s">
        <v>1069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B70" s="184">
        <v>43112</v>
      </c>
      <c r="C70" s="10">
        <v>400</v>
      </c>
      <c r="D70" s="39">
        <v>22.8508</v>
      </c>
      <c r="E70" s="39">
        <v>27.22</v>
      </c>
      <c r="F70" s="39">
        <f t="shared" ref="F70:F82" si="33">C70*(E70-D70)</f>
        <v>1747.6799999999998</v>
      </c>
      <c r="G70" s="39">
        <f t="shared" ref="G70:G82" si="34">D70*C70</f>
        <v>9140.32</v>
      </c>
      <c r="H70" s="222">
        <f t="shared" ref="H70:H82" si="35">(E70-D70)/D70</f>
        <v>0.1912055595427731</v>
      </c>
      <c r="I70" s="39"/>
      <c r="J70" s="39"/>
      <c r="K70" s="39">
        <v>3120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400</v>
      </c>
      <c r="B71" s="184">
        <v>43116</v>
      </c>
      <c r="C71" s="10">
        <v>450</v>
      </c>
      <c r="D71" s="39">
        <v>23.176200000000001</v>
      </c>
      <c r="E71" s="39">
        <v>25.68</v>
      </c>
      <c r="F71" s="39">
        <f t="shared" si="33"/>
        <v>1126.7099999999991</v>
      </c>
      <c r="G71" s="39">
        <f t="shared" si="34"/>
        <v>10429.290000000001</v>
      </c>
      <c r="H71" s="222">
        <f t="shared" si="35"/>
        <v>0.10803324099722983</v>
      </c>
      <c r="I71" s="39"/>
      <c r="J71" s="39"/>
      <c r="K71" s="39">
        <v>2579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A72">
        <v>350</v>
      </c>
      <c r="B72" s="184">
        <v>43118</v>
      </c>
      <c r="C72" s="7">
        <v>400</v>
      </c>
      <c r="D72" s="43">
        <v>22.763300000000001</v>
      </c>
      <c r="E72" s="39">
        <v>26.22</v>
      </c>
      <c r="F72" s="39">
        <f t="shared" si="33"/>
        <v>1382.6799999999992</v>
      </c>
      <c r="G72" s="39">
        <f t="shared" si="34"/>
        <v>9105.32</v>
      </c>
      <c r="H72" s="222">
        <f t="shared" si="35"/>
        <v>0.15185408091093988</v>
      </c>
      <c r="I72" s="39">
        <v>22.5</v>
      </c>
      <c r="J72" s="39"/>
      <c r="K72" s="39">
        <v>2835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350</v>
      </c>
      <c r="B73" s="184">
        <v>43121</v>
      </c>
      <c r="C73" s="10">
        <v>400</v>
      </c>
      <c r="D73" s="39">
        <v>22.76</v>
      </c>
      <c r="E73" s="39">
        <v>26.53</v>
      </c>
      <c r="F73" s="39">
        <f t="shared" si="33"/>
        <v>1507.9999999999998</v>
      </c>
      <c r="G73" s="39">
        <f t="shared" si="34"/>
        <v>9104</v>
      </c>
      <c r="H73" s="222">
        <f t="shared" si="35"/>
        <v>0.16564147627416517</v>
      </c>
      <c r="I73" s="39"/>
      <c r="J73" s="39">
        <v>58.41</v>
      </c>
      <c r="K73" s="39">
        <v>2959</v>
      </c>
      <c r="L73" s="39"/>
      <c r="AA73" s="107"/>
    </row>
    <row r="74" spans="1:33" x14ac:dyDescent="0.25">
      <c r="A74">
        <v>250</v>
      </c>
      <c r="B74" s="184">
        <v>43126</v>
      </c>
      <c r="C74" s="10">
        <v>300</v>
      </c>
      <c r="D74" s="39">
        <v>21.144600000000001</v>
      </c>
      <c r="E74" s="39">
        <v>27.6</v>
      </c>
      <c r="F74" s="39">
        <f t="shared" si="33"/>
        <v>1936.6200000000003</v>
      </c>
      <c r="G74" s="39">
        <f t="shared" si="34"/>
        <v>6343.38</v>
      </c>
      <c r="H74" s="222">
        <f t="shared" si="35"/>
        <v>0.30529780653216426</v>
      </c>
      <c r="I74" s="39"/>
      <c r="J74" s="39"/>
      <c r="K74" s="39">
        <v>3389</v>
      </c>
      <c r="L74" s="39"/>
      <c r="AA74" s="4"/>
    </row>
    <row r="75" spans="1:33" x14ac:dyDescent="0.25">
      <c r="A75">
        <v>250</v>
      </c>
      <c r="B75" s="184">
        <v>43131</v>
      </c>
      <c r="C75" s="10">
        <v>400</v>
      </c>
      <c r="D75" s="39">
        <v>22.578499999999998</v>
      </c>
      <c r="E75" s="39">
        <v>27.3</v>
      </c>
      <c r="F75" s="39">
        <f t="shared" si="33"/>
        <v>1888.600000000001</v>
      </c>
      <c r="G75" s="39">
        <f t="shared" si="34"/>
        <v>9031.4</v>
      </c>
      <c r="H75" s="222">
        <f t="shared" si="35"/>
        <v>0.20911486591226178</v>
      </c>
      <c r="I75" s="39"/>
      <c r="J75" s="39"/>
      <c r="K75" s="39">
        <v>3341</v>
      </c>
      <c r="L75" s="39"/>
    </row>
    <row r="76" spans="1:33" x14ac:dyDescent="0.25">
      <c r="A76">
        <v>250</v>
      </c>
      <c r="B76" s="184">
        <v>43133</v>
      </c>
      <c r="C76" s="10">
        <v>600</v>
      </c>
      <c r="D76" s="39">
        <v>23.68</v>
      </c>
      <c r="E76" s="39">
        <v>26.04</v>
      </c>
      <c r="F76" s="39">
        <f t="shared" si="33"/>
        <v>1415.9999999999995</v>
      </c>
      <c r="G76" s="39">
        <f t="shared" si="34"/>
        <v>14208</v>
      </c>
      <c r="H76" s="222">
        <f t="shared" si="35"/>
        <v>9.9662162162162143E-2</v>
      </c>
      <c r="I76" s="39"/>
      <c r="J76" s="39"/>
      <c r="K76" s="39">
        <v>2869</v>
      </c>
      <c r="L76" s="39"/>
    </row>
    <row r="77" spans="1:33" x14ac:dyDescent="0.25">
      <c r="B77" s="184">
        <v>43140</v>
      </c>
      <c r="C77" s="425">
        <v>800</v>
      </c>
      <c r="D77" s="426">
        <v>23.654199999999999</v>
      </c>
      <c r="E77" s="39">
        <v>24.35</v>
      </c>
      <c r="F77" s="39">
        <f t="shared" si="33"/>
        <v>556.64000000000158</v>
      </c>
      <c r="G77" s="39">
        <f t="shared" si="34"/>
        <v>18923.36</v>
      </c>
      <c r="H77" s="222">
        <f t="shared" si="35"/>
        <v>2.9415494922677664E-2</v>
      </c>
      <c r="I77" s="39"/>
      <c r="J77" s="39"/>
      <c r="K77" s="39"/>
      <c r="L77" s="39"/>
    </row>
    <row r="78" spans="1:33" x14ac:dyDescent="0.25">
      <c r="A78">
        <v>50</v>
      </c>
      <c r="B78" s="184">
        <v>43140</v>
      </c>
      <c r="C78" s="10">
        <v>600</v>
      </c>
      <c r="D78" s="39">
        <v>23.379200000000001</v>
      </c>
      <c r="E78" s="39">
        <v>24.35</v>
      </c>
      <c r="F78" s="39">
        <f t="shared" si="33"/>
        <v>582.48000000000036</v>
      </c>
      <c r="G78" s="39">
        <f t="shared" si="34"/>
        <v>14027.52</v>
      </c>
      <c r="H78" s="222">
        <f t="shared" si="35"/>
        <v>4.1524089789214368E-2</v>
      </c>
      <c r="I78" s="39"/>
      <c r="J78" s="39"/>
      <c r="K78" s="39">
        <v>2035</v>
      </c>
      <c r="L78" s="39"/>
    </row>
    <row r="79" spans="1:33" x14ac:dyDescent="0.25">
      <c r="A79">
        <v>50</v>
      </c>
      <c r="B79" s="184">
        <v>43146</v>
      </c>
      <c r="C79" s="10">
        <v>600</v>
      </c>
      <c r="D79" s="39">
        <v>23.38</v>
      </c>
      <c r="E79" s="39">
        <v>25.86</v>
      </c>
      <c r="F79" s="39">
        <f t="shared" si="33"/>
        <v>1488.0000000000002</v>
      </c>
      <c r="G79" s="39">
        <f t="shared" si="34"/>
        <v>14028</v>
      </c>
      <c r="H79" s="222">
        <f t="shared" si="35"/>
        <v>0.10607356715141149</v>
      </c>
      <c r="I79" s="39"/>
      <c r="J79" s="39"/>
      <c r="K79" s="39">
        <v>2941</v>
      </c>
      <c r="L79" s="39"/>
    </row>
    <row r="80" spans="1:33" x14ac:dyDescent="0.25">
      <c r="A80">
        <v>0</v>
      </c>
      <c r="B80" s="184">
        <v>43151</v>
      </c>
      <c r="C80" s="10">
        <v>500</v>
      </c>
      <c r="D80" s="39">
        <v>22.82</v>
      </c>
      <c r="E80" s="39">
        <v>26.19</v>
      </c>
      <c r="F80" s="39">
        <f t="shared" si="33"/>
        <v>1685.0000000000005</v>
      </c>
      <c r="G80" s="39">
        <f t="shared" si="34"/>
        <v>11410</v>
      </c>
      <c r="H80" s="222">
        <f t="shared" si="35"/>
        <v>0.14767747589833483</v>
      </c>
      <c r="I80" s="39"/>
      <c r="J80" s="39"/>
      <c r="K80" s="39">
        <v>3139</v>
      </c>
      <c r="L80" s="39"/>
    </row>
    <row r="81" spans="1:12" x14ac:dyDescent="0.25">
      <c r="A81">
        <v>0</v>
      </c>
      <c r="B81" s="184">
        <v>43151</v>
      </c>
      <c r="C81" s="7">
        <v>400</v>
      </c>
      <c r="D81" s="43">
        <v>21.81</v>
      </c>
      <c r="E81" s="39">
        <v>26.76</v>
      </c>
      <c r="F81" s="39">
        <f t="shared" si="33"/>
        <v>1980.0000000000011</v>
      </c>
      <c r="G81" s="39">
        <f t="shared" si="34"/>
        <v>8724</v>
      </c>
      <c r="H81" s="222">
        <f t="shared" si="35"/>
        <v>0.22696011004126562</v>
      </c>
      <c r="I81" s="746" t="s">
        <v>939</v>
      </c>
      <c r="J81" s="39"/>
      <c r="K81" s="39">
        <v>3433</v>
      </c>
      <c r="L81" s="39"/>
    </row>
    <row r="82" spans="1:12" x14ac:dyDescent="0.25">
      <c r="B82" s="184">
        <v>43157</v>
      </c>
      <c r="C82" s="10">
        <v>400</v>
      </c>
      <c r="D82" s="39">
        <v>21.81</v>
      </c>
      <c r="E82" s="39">
        <v>28.12</v>
      </c>
      <c r="F82" s="39">
        <f t="shared" si="33"/>
        <v>2524.0000000000009</v>
      </c>
      <c r="G82" s="39">
        <f t="shared" si="34"/>
        <v>8724</v>
      </c>
      <c r="H82" s="222">
        <f t="shared" si="35"/>
        <v>0.28931682714351226</v>
      </c>
      <c r="I82" s="39"/>
      <c r="J82" s="39"/>
      <c r="K82" s="39">
        <v>3996</v>
      </c>
      <c r="L82" s="39"/>
    </row>
    <row r="83" spans="1:12" x14ac:dyDescent="0.25">
      <c r="A83" s="1">
        <v>43164</v>
      </c>
      <c r="B83" s="184">
        <v>43158</v>
      </c>
      <c r="C83" s="10">
        <v>400</v>
      </c>
      <c r="D83" s="39">
        <v>21.81</v>
      </c>
      <c r="E83" s="39">
        <v>26.82</v>
      </c>
      <c r="F83" s="39">
        <f t="shared" ref="F83" si="36">C83*(E83-D83)</f>
        <v>2004.0000000000007</v>
      </c>
      <c r="G83" s="39">
        <f t="shared" ref="G83" si="37">D83*C83</f>
        <v>8724</v>
      </c>
      <c r="H83" s="222">
        <f t="shared" ref="H83" si="38">(E83-D83)/D83</f>
        <v>0.22971114167812939</v>
      </c>
      <c r="I83" s="39"/>
      <c r="J83" s="39"/>
      <c r="K83" s="39">
        <v>3457</v>
      </c>
      <c r="L83" s="39"/>
    </row>
    <row r="84" spans="1:12" x14ac:dyDescent="0.25">
      <c r="A84">
        <v>200</v>
      </c>
      <c r="B84" s="184">
        <v>43165</v>
      </c>
      <c r="C84" s="10">
        <v>400</v>
      </c>
      <c r="D84" s="39">
        <v>21.81</v>
      </c>
      <c r="E84" s="39">
        <v>27.74</v>
      </c>
      <c r="F84" s="39">
        <f t="shared" ref="F84:F85" si="39">C84*(E84-D84)</f>
        <v>2372</v>
      </c>
      <c r="G84" s="39">
        <f t="shared" ref="G84:G85" si="40">D84*C84</f>
        <v>8724</v>
      </c>
      <c r="H84" s="222">
        <f t="shared" ref="H84:H85" si="41">(E84-D84)/D84</f>
        <v>0.27189362677670792</v>
      </c>
      <c r="I84" s="39"/>
      <c r="J84" s="39"/>
      <c r="K84" s="39">
        <v>3825</v>
      </c>
      <c r="L84" s="39"/>
    </row>
    <row r="85" spans="1:12" x14ac:dyDescent="0.25">
      <c r="A85">
        <v>400</v>
      </c>
      <c r="B85" s="184">
        <v>43178</v>
      </c>
      <c r="C85" s="10">
        <v>600</v>
      </c>
      <c r="D85" s="39">
        <v>22.95</v>
      </c>
      <c r="E85" s="39">
        <v>25.59</v>
      </c>
      <c r="F85" s="39">
        <f t="shared" si="39"/>
        <v>1584.0000000000005</v>
      </c>
      <c r="G85" s="39">
        <f t="shared" si="40"/>
        <v>13770</v>
      </c>
      <c r="H85" s="222">
        <f t="shared" si="41"/>
        <v>0.11503267973856211</v>
      </c>
      <c r="I85" s="39">
        <v>22.5</v>
      </c>
      <c r="J85" s="39"/>
      <c r="K85" s="39">
        <v>2851</v>
      </c>
      <c r="L85" s="39"/>
    </row>
    <row r="86" spans="1:12" x14ac:dyDescent="0.25">
      <c r="A86">
        <v>400</v>
      </c>
      <c r="B86" s="184">
        <v>43185</v>
      </c>
      <c r="C86" s="10">
        <v>600</v>
      </c>
      <c r="D86" s="39">
        <v>22.95</v>
      </c>
      <c r="E86" s="39">
        <v>24.65</v>
      </c>
      <c r="F86" s="39">
        <f t="shared" ref="F86:F93" si="42">C86*(E86-D86)</f>
        <v>1019.9999999999995</v>
      </c>
      <c r="G86" s="39">
        <f t="shared" ref="G86:G93" si="43">D86*C86</f>
        <v>13770</v>
      </c>
      <c r="H86" s="222">
        <f t="shared" ref="H86:H93" si="44">(E86-D86)/D86</f>
        <v>7.4074074074074042E-2</v>
      </c>
      <c r="I86" s="39"/>
      <c r="J86" s="39"/>
      <c r="K86" s="39">
        <v>2474</v>
      </c>
      <c r="L86" s="39"/>
    </row>
    <row r="87" spans="1:12" x14ac:dyDescent="0.25">
      <c r="A87">
        <v>400</v>
      </c>
      <c r="B87" s="184">
        <v>43187</v>
      </c>
      <c r="C87" s="425">
        <v>800</v>
      </c>
      <c r="D87" s="426">
        <v>23.1145</v>
      </c>
      <c r="E87" s="39">
        <v>23.57</v>
      </c>
      <c r="F87" s="39">
        <f t="shared" si="42"/>
        <v>364.40000000000055</v>
      </c>
      <c r="G87" s="39">
        <f t="shared" si="43"/>
        <v>18491.599999999999</v>
      </c>
      <c r="H87" s="222">
        <f t="shared" si="44"/>
        <v>1.9706244997728727E-2</v>
      </c>
      <c r="I87" s="746" t="s">
        <v>965</v>
      </c>
      <c r="J87" s="39"/>
      <c r="K87" s="39">
        <v>1817</v>
      </c>
      <c r="L87" s="39"/>
    </row>
    <row r="88" spans="1:12" x14ac:dyDescent="0.25">
      <c r="A88">
        <v>200</v>
      </c>
      <c r="B88" s="184">
        <v>43188</v>
      </c>
      <c r="C88" s="10">
        <v>600</v>
      </c>
      <c r="D88" s="39">
        <v>22.732900000000001</v>
      </c>
      <c r="E88" s="39">
        <v>24.28</v>
      </c>
      <c r="F88" s="39">
        <f t="shared" si="42"/>
        <v>928.26000000000022</v>
      </c>
      <c r="G88" s="39">
        <f t="shared" si="43"/>
        <v>13639.74</v>
      </c>
      <c r="H88" s="222">
        <f t="shared" si="44"/>
        <v>6.8055549445957195E-2</v>
      </c>
      <c r="I88" s="39">
        <v>22.5</v>
      </c>
      <c r="J88" s="39"/>
      <c r="K88" s="39">
        <v>2380</v>
      </c>
      <c r="L88" s="39"/>
    </row>
    <row r="89" spans="1:12" x14ac:dyDescent="0.25">
      <c r="A89">
        <v>200</v>
      </c>
      <c r="B89" s="184">
        <v>43192</v>
      </c>
      <c r="C89" s="425">
        <v>800</v>
      </c>
      <c r="D89" s="426">
        <v>22.97</v>
      </c>
      <c r="E89" s="39">
        <v>23.67</v>
      </c>
      <c r="F89" s="39">
        <f t="shared" si="42"/>
        <v>560.00000000000227</v>
      </c>
      <c r="G89" s="39">
        <f t="shared" si="43"/>
        <v>18376</v>
      </c>
      <c r="H89" s="222">
        <f t="shared" si="44"/>
        <v>3.0474531998258725E-2</v>
      </c>
      <c r="I89" s="39"/>
      <c r="J89" s="39"/>
      <c r="K89" s="39">
        <v>2012</v>
      </c>
      <c r="L89" s="39"/>
    </row>
    <row r="90" spans="1:12" x14ac:dyDescent="0.25">
      <c r="A90">
        <v>0</v>
      </c>
      <c r="B90" s="184">
        <v>43195</v>
      </c>
      <c r="C90" s="10">
        <v>600</v>
      </c>
      <c r="D90" s="39">
        <v>22.21</v>
      </c>
      <c r="E90" s="39">
        <v>25.19</v>
      </c>
      <c r="F90" s="39">
        <f t="shared" si="42"/>
        <v>1788.0000000000002</v>
      </c>
      <c r="G90" s="39">
        <f t="shared" si="43"/>
        <v>13326</v>
      </c>
      <c r="H90" s="222">
        <f t="shared" si="44"/>
        <v>0.13417379558757317</v>
      </c>
      <c r="I90" s="746" t="s">
        <v>967</v>
      </c>
      <c r="J90" s="39"/>
      <c r="K90" s="39">
        <v>3240</v>
      </c>
      <c r="L90" s="39"/>
    </row>
    <row r="91" spans="1:12" x14ac:dyDescent="0.25">
      <c r="B91" s="184">
        <v>43196</v>
      </c>
      <c r="C91" s="10">
        <v>700</v>
      </c>
      <c r="D91" s="39">
        <v>22.54</v>
      </c>
      <c r="E91" s="39">
        <v>24.5</v>
      </c>
      <c r="F91" s="39">
        <f t="shared" si="42"/>
        <v>1372.0000000000007</v>
      </c>
      <c r="G91" s="39">
        <f t="shared" si="43"/>
        <v>15778</v>
      </c>
      <c r="H91" s="222">
        <f t="shared" si="44"/>
        <v>8.6956521739130474E-2</v>
      </c>
      <c r="I91" s="39"/>
      <c r="J91" s="39"/>
      <c r="K91" s="39">
        <v>2826</v>
      </c>
      <c r="L91" s="39"/>
    </row>
    <row r="92" spans="1:12" x14ac:dyDescent="0.25">
      <c r="A92">
        <v>0</v>
      </c>
      <c r="B92" s="184">
        <v>43196</v>
      </c>
      <c r="C92" s="425">
        <v>800</v>
      </c>
      <c r="D92" s="426">
        <v>22.725999999999999</v>
      </c>
      <c r="E92" s="39">
        <v>24.05</v>
      </c>
      <c r="F92" s="39">
        <f t="shared" si="42"/>
        <v>1059.2000000000012</v>
      </c>
      <c r="G92" s="39">
        <f t="shared" si="43"/>
        <v>18180.8</v>
      </c>
      <c r="H92" s="222">
        <f t="shared" si="44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12" x14ac:dyDescent="0.25">
      <c r="A93">
        <v>0</v>
      </c>
      <c r="B93" s="184">
        <v>43200</v>
      </c>
      <c r="C93" s="10">
        <v>600</v>
      </c>
      <c r="D93" s="39">
        <v>21.895</v>
      </c>
      <c r="E93" s="39">
        <v>25.03</v>
      </c>
      <c r="F93" s="39">
        <f t="shared" si="42"/>
        <v>1881.0000000000009</v>
      </c>
      <c r="G93" s="39">
        <f t="shared" si="43"/>
        <v>13137</v>
      </c>
      <c r="H93" s="222">
        <f t="shared" si="44"/>
        <v>0.14318337519981739</v>
      </c>
      <c r="I93" s="39"/>
      <c r="J93" s="39"/>
      <c r="K93" s="39">
        <v>3333</v>
      </c>
      <c r="L93" s="39"/>
    </row>
    <row r="94" spans="1:12" x14ac:dyDescent="0.25">
      <c r="A94">
        <v>0</v>
      </c>
      <c r="B94" s="184">
        <v>43208</v>
      </c>
      <c r="C94" s="10">
        <v>600</v>
      </c>
      <c r="D94" s="39">
        <v>21.895</v>
      </c>
      <c r="E94" s="39">
        <v>26.04</v>
      </c>
      <c r="F94" s="39">
        <f t="shared" ref="F94" si="45">C94*(E94-D94)</f>
        <v>2486.9999999999995</v>
      </c>
      <c r="G94" s="39">
        <f t="shared" ref="G94" si="46">D94*C94</f>
        <v>13137</v>
      </c>
      <c r="H94" s="222">
        <f t="shared" ref="H94" si="47">(E94-D94)/D94</f>
        <v>0.18931262845398492</v>
      </c>
      <c r="I94" s="39"/>
      <c r="J94" s="39"/>
      <c r="K94" s="39">
        <v>3939</v>
      </c>
      <c r="L94" s="39"/>
    </row>
    <row r="95" spans="1:12" x14ac:dyDescent="0.25">
      <c r="A95">
        <v>0</v>
      </c>
      <c r="B95" s="184">
        <v>43216</v>
      </c>
      <c r="C95" s="10">
        <v>600</v>
      </c>
      <c r="D95" s="39">
        <v>21.895</v>
      </c>
      <c r="E95" s="39">
        <v>27.17</v>
      </c>
      <c r="F95" s="39">
        <f t="shared" ref="F95:F103" si="48">C95*(E95-D95)</f>
        <v>3165.0000000000014</v>
      </c>
      <c r="G95" s="39">
        <f t="shared" ref="G95:G103" si="49">D95*C95</f>
        <v>13137</v>
      </c>
      <c r="H95" s="222">
        <f t="shared" ref="H95:H103" si="50">(E95-D95)/D95</f>
        <v>0.24092258506508346</v>
      </c>
      <c r="I95" s="39"/>
      <c r="J95" s="39"/>
      <c r="K95" s="39">
        <v>4617</v>
      </c>
      <c r="L95" s="39"/>
    </row>
    <row r="96" spans="1:12" x14ac:dyDescent="0.25">
      <c r="A96">
        <v>200</v>
      </c>
      <c r="B96" s="184">
        <v>43224</v>
      </c>
      <c r="C96" s="7">
        <v>400</v>
      </c>
      <c r="D96" s="43">
        <v>19.053000000000001</v>
      </c>
      <c r="E96" s="39">
        <v>27.43</v>
      </c>
      <c r="F96" s="39">
        <f t="shared" si="48"/>
        <v>3350.7999999999997</v>
      </c>
      <c r="G96" s="39">
        <f t="shared" si="49"/>
        <v>7621.2000000000007</v>
      </c>
      <c r="H96" s="222">
        <f t="shared" si="50"/>
        <v>0.4396682937070277</v>
      </c>
      <c r="I96" s="746" t="s">
        <v>1063</v>
      </c>
      <c r="J96" s="39"/>
      <c r="K96" s="39">
        <v>4803</v>
      </c>
      <c r="L96" s="39">
        <v>19.68</v>
      </c>
    </row>
    <row r="97" spans="1:12" x14ac:dyDescent="0.25">
      <c r="A97">
        <v>400</v>
      </c>
      <c r="B97" s="184">
        <v>43227</v>
      </c>
      <c r="C97" s="10">
        <v>500</v>
      </c>
      <c r="D97" s="39">
        <v>20.6462</v>
      </c>
      <c r="E97" s="39">
        <v>27.56</v>
      </c>
      <c r="F97" s="39">
        <f t="shared" si="48"/>
        <v>3456.8999999999992</v>
      </c>
      <c r="G97" s="39">
        <f t="shared" si="49"/>
        <v>10323.1</v>
      </c>
      <c r="H97" s="222">
        <f t="shared" si="50"/>
        <v>0.33487033933605209</v>
      </c>
      <c r="I97" s="39"/>
      <c r="J97" s="39"/>
      <c r="K97" s="39">
        <v>4909</v>
      </c>
      <c r="L97" s="39"/>
    </row>
    <row r="98" spans="1:12" x14ac:dyDescent="0.25">
      <c r="A98">
        <v>400</v>
      </c>
      <c r="B98" s="184">
        <v>43228</v>
      </c>
      <c r="C98" s="10">
        <v>600</v>
      </c>
      <c r="D98" s="39">
        <v>21.5518</v>
      </c>
      <c r="E98" s="39">
        <v>26.1</v>
      </c>
      <c r="F98" s="39">
        <f t="shared" si="48"/>
        <v>2728.920000000001</v>
      </c>
      <c r="G98" s="39">
        <f t="shared" si="49"/>
        <v>12931.08</v>
      </c>
      <c r="H98" s="222">
        <f t="shared" si="50"/>
        <v>0.21103573715420529</v>
      </c>
      <c r="I98" s="746" t="s">
        <v>1072</v>
      </c>
      <c r="J98" s="39"/>
      <c r="K98" s="39">
        <v>4181</v>
      </c>
      <c r="L98" s="39"/>
    </row>
    <row r="99" spans="1:12" x14ac:dyDescent="0.25">
      <c r="A99">
        <v>200</v>
      </c>
      <c r="B99" s="184">
        <v>43234</v>
      </c>
      <c r="C99" s="7">
        <v>400</v>
      </c>
      <c r="D99" s="43">
        <v>18.6431</v>
      </c>
      <c r="E99" s="39">
        <v>27.17</v>
      </c>
      <c r="F99" s="39">
        <f t="shared" si="48"/>
        <v>3410.7600000000007</v>
      </c>
      <c r="G99" s="39">
        <f t="shared" si="49"/>
        <v>7457.24</v>
      </c>
      <c r="H99" s="222">
        <f t="shared" si="50"/>
        <v>0.45737565104515887</v>
      </c>
      <c r="I99" s="39">
        <v>18.5</v>
      </c>
      <c r="J99" s="39"/>
      <c r="K99" s="39">
        <v>4863</v>
      </c>
      <c r="L99" s="39"/>
    </row>
    <row r="100" spans="1:12" x14ac:dyDescent="0.25">
      <c r="A100">
        <v>0</v>
      </c>
      <c r="B100" s="184">
        <v>43257</v>
      </c>
      <c r="C100" s="228">
        <v>200</v>
      </c>
      <c r="D100" s="229">
        <v>8.5065000000000008</v>
      </c>
      <c r="E100" s="39">
        <v>29.08</v>
      </c>
      <c r="F100" s="39">
        <f t="shared" si="48"/>
        <v>4114.6999999999989</v>
      </c>
      <c r="G100" s="39">
        <f t="shared" si="49"/>
        <v>1701.3000000000002</v>
      </c>
      <c r="H100" s="222">
        <f t="shared" si="50"/>
        <v>2.418562275906659</v>
      </c>
      <c r="I100" s="39"/>
      <c r="J100" s="39"/>
      <c r="K100" s="39">
        <v>5567</v>
      </c>
      <c r="L100" s="39"/>
    </row>
    <row r="101" spans="1:12" x14ac:dyDescent="0.25">
      <c r="A101">
        <v>200</v>
      </c>
      <c r="B101" s="184">
        <v>43270</v>
      </c>
      <c r="C101" s="7">
        <v>400</v>
      </c>
      <c r="D101" s="43">
        <v>18.353300000000001</v>
      </c>
      <c r="E101" s="39">
        <v>28.31</v>
      </c>
      <c r="F101" s="39">
        <f t="shared" si="48"/>
        <v>3982.6799999999994</v>
      </c>
      <c r="G101" s="39">
        <f t="shared" si="49"/>
        <v>7341.3200000000006</v>
      </c>
      <c r="H101" s="222">
        <f t="shared" si="50"/>
        <v>0.54250189339246879</v>
      </c>
      <c r="I101" s="229" t="s">
        <v>1137</v>
      </c>
      <c r="J101" s="39"/>
      <c r="K101" s="39">
        <v>5435</v>
      </c>
      <c r="L101" s="39"/>
    </row>
    <row r="102" spans="1:12" x14ac:dyDescent="0.25">
      <c r="A102">
        <v>200</v>
      </c>
      <c r="B102" s="184">
        <v>43272</v>
      </c>
      <c r="C102" s="10">
        <v>400</v>
      </c>
      <c r="D102" s="39">
        <v>18.328299999999999</v>
      </c>
      <c r="E102" s="39">
        <v>28.28</v>
      </c>
      <c r="F102" s="39">
        <f t="shared" si="48"/>
        <v>3980.6800000000012</v>
      </c>
      <c r="G102" s="39">
        <f t="shared" si="49"/>
        <v>7331.32</v>
      </c>
      <c r="H102" s="222">
        <f t="shared" si="50"/>
        <v>0.54296906969004233</v>
      </c>
      <c r="I102" s="39"/>
      <c r="J102" s="39"/>
      <c r="K102" s="39">
        <v>5473</v>
      </c>
      <c r="L102" s="39"/>
    </row>
    <row r="103" spans="1:12" x14ac:dyDescent="0.25">
      <c r="A103">
        <v>100</v>
      </c>
      <c r="B103" s="184">
        <v>43273</v>
      </c>
      <c r="C103" s="10">
        <v>300</v>
      </c>
      <c r="D103" s="39">
        <v>14.7445</v>
      </c>
      <c r="E103" s="39">
        <v>28.88</v>
      </c>
      <c r="F103" s="39">
        <f t="shared" si="48"/>
        <v>4240.6499999999996</v>
      </c>
      <c r="G103" s="39">
        <f t="shared" si="49"/>
        <v>4423.3500000000004</v>
      </c>
      <c r="H103" s="222">
        <f t="shared" si="50"/>
        <v>0.95869646308793099</v>
      </c>
      <c r="I103" s="39"/>
      <c r="J103" s="39"/>
      <c r="K103" s="39">
        <v>5693</v>
      </c>
      <c r="L103" s="39"/>
    </row>
    <row r="104" spans="1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1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1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1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9" spans="1:12" x14ac:dyDescent="0.25">
      <c r="B109" s="484" t="s">
        <v>113</v>
      </c>
      <c r="C109" s="484" t="s">
        <v>146</v>
      </c>
      <c r="D109" s="485" t="s">
        <v>145</v>
      </c>
      <c r="E109" s="486" t="s">
        <v>147</v>
      </c>
      <c r="F109" s="486" t="s">
        <v>65</v>
      </c>
      <c r="G109" s="488" t="s">
        <v>151</v>
      </c>
      <c r="H109" s="488" t="s">
        <v>88</v>
      </c>
      <c r="I109" s="488" t="s">
        <v>154</v>
      </c>
    </row>
    <row r="110" spans="1:12" x14ac:dyDescent="0.25">
      <c r="B110" s="361">
        <v>42548</v>
      </c>
      <c r="C110" s="362">
        <v>100</v>
      </c>
      <c r="D110" s="363">
        <v>25</v>
      </c>
      <c r="E110" s="363">
        <v>24.69</v>
      </c>
      <c r="F110" s="363">
        <f t="shared" ref="F110:F115" si="51">C110*(E110-D110)</f>
        <v>-30.999999999999872</v>
      </c>
      <c r="G110" s="363">
        <f t="shared" ref="G110:G115" si="52">D110*C110</f>
        <v>2500</v>
      </c>
      <c r="H110" s="364">
        <f t="shared" ref="H110:H115" si="53">(E110-D110)/D110</f>
        <v>-1.2399999999999949E-2</v>
      </c>
      <c r="I110" s="363"/>
    </row>
    <row r="111" spans="1:12" x14ac:dyDescent="0.25">
      <c r="B111" s="361">
        <v>42549</v>
      </c>
      <c r="C111" s="362">
        <v>100</v>
      </c>
      <c r="D111" s="363">
        <v>25</v>
      </c>
      <c r="E111" s="363">
        <v>25.26</v>
      </c>
      <c r="F111" s="363">
        <f t="shared" si="51"/>
        <v>26.000000000000156</v>
      </c>
      <c r="G111" s="363">
        <f t="shared" si="52"/>
        <v>2500</v>
      </c>
      <c r="H111" s="364">
        <f t="shared" si="53"/>
        <v>1.0400000000000062E-2</v>
      </c>
      <c r="I111" s="363"/>
    </row>
    <row r="112" spans="1:12" x14ac:dyDescent="0.25">
      <c r="B112" s="361">
        <v>42552</v>
      </c>
      <c r="C112" s="362">
        <v>100</v>
      </c>
      <c r="D112" s="363">
        <v>25</v>
      </c>
      <c r="E112" s="363">
        <v>26.57</v>
      </c>
      <c r="F112" s="363">
        <f t="shared" si="51"/>
        <v>157.00000000000003</v>
      </c>
      <c r="G112" s="363">
        <f t="shared" si="52"/>
        <v>2500</v>
      </c>
      <c r="H112" s="364">
        <f t="shared" si="53"/>
        <v>6.2800000000000009E-2</v>
      </c>
      <c r="I112" s="363"/>
    </row>
    <row r="113" spans="2:9" x14ac:dyDescent="0.25">
      <c r="B113" s="361">
        <v>42556</v>
      </c>
      <c r="C113" s="362">
        <v>100</v>
      </c>
      <c r="D113" s="363">
        <v>25</v>
      </c>
      <c r="E113" s="363">
        <v>25.47</v>
      </c>
      <c r="F113" s="363">
        <f t="shared" si="51"/>
        <v>46.999999999999886</v>
      </c>
      <c r="G113" s="363">
        <f t="shared" si="52"/>
        <v>2500</v>
      </c>
      <c r="H113" s="364">
        <f t="shared" si="53"/>
        <v>1.8799999999999956E-2</v>
      </c>
      <c r="I113" s="363"/>
    </row>
    <row r="114" spans="2:9" x14ac:dyDescent="0.25">
      <c r="B114" s="361">
        <v>42562</v>
      </c>
      <c r="C114" s="362">
        <v>100</v>
      </c>
      <c r="D114" s="363">
        <v>25</v>
      </c>
      <c r="E114" s="363">
        <v>25.69</v>
      </c>
      <c r="F114" s="363">
        <f t="shared" si="51"/>
        <v>69.000000000000128</v>
      </c>
      <c r="G114" s="363">
        <f t="shared" si="52"/>
        <v>2500</v>
      </c>
      <c r="H114" s="364">
        <f t="shared" si="53"/>
        <v>2.7600000000000052E-2</v>
      </c>
      <c r="I114" s="363"/>
    </row>
    <row r="115" spans="2:9" x14ac:dyDescent="0.25">
      <c r="B115" s="361">
        <v>42563</v>
      </c>
      <c r="C115" s="362">
        <v>100</v>
      </c>
      <c r="D115" s="363">
        <v>25</v>
      </c>
      <c r="E115" s="363">
        <v>26.48</v>
      </c>
      <c r="F115" s="363">
        <f t="shared" si="51"/>
        <v>148.00000000000006</v>
      </c>
      <c r="G115" s="363">
        <f t="shared" si="52"/>
        <v>2500</v>
      </c>
      <c r="H115" s="364">
        <f t="shared" si="53"/>
        <v>5.9200000000000016E-2</v>
      </c>
      <c r="I115" s="363"/>
    </row>
    <row r="116" spans="2:9" x14ac:dyDescent="0.25">
      <c r="B116" s="361">
        <v>42569</v>
      </c>
      <c r="C116" s="362">
        <v>100</v>
      </c>
      <c r="D116" s="363">
        <v>25</v>
      </c>
      <c r="E116" s="363">
        <v>29.28</v>
      </c>
      <c r="F116" s="363">
        <f t="shared" ref="F116:F122" si="54">C116*(E116-D116)</f>
        <v>428.00000000000011</v>
      </c>
      <c r="G116" s="363">
        <f t="shared" ref="G116:G122" si="55">D116*C116</f>
        <v>2500</v>
      </c>
      <c r="H116" s="364">
        <f t="shared" ref="H116:H122" si="56">(E116-D116)/D116</f>
        <v>0.17120000000000005</v>
      </c>
      <c r="I116" s="363"/>
    </row>
    <row r="117" spans="2:9" x14ac:dyDescent="0.25">
      <c r="B117" s="361">
        <v>42570</v>
      </c>
      <c r="C117" s="362">
        <v>100</v>
      </c>
      <c r="D117" s="363">
        <v>25</v>
      </c>
      <c r="E117" s="363">
        <v>28.68</v>
      </c>
      <c r="F117" s="363">
        <f t="shared" si="54"/>
        <v>368</v>
      </c>
      <c r="G117" s="363">
        <f t="shared" si="55"/>
        <v>2500</v>
      </c>
      <c r="H117" s="364">
        <f t="shared" si="56"/>
        <v>0.1472</v>
      </c>
      <c r="I117" s="363"/>
    </row>
    <row r="118" spans="2:9" x14ac:dyDescent="0.25">
      <c r="B118" s="361">
        <v>42571</v>
      </c>
      <c r="C118" s="362">
        <v>100</v>
      </c>
      <c r="D118" s="363">
        <v>25</v>
      </c>
      <c r="E118" s="363">
        <v>29.01</v>
      </c>
      <c r="F118" s="363">
        <f t="shared" si="54"/>
        <v>401.00000000000017</v>
      </c>
      <c r="G118" s="363">
        <f t="shared" si="55"/>
        <v>2500</v>
      </c>
      <c r="H118" s="364">
        <f t="shared" si="56"/>
        <v>0.16040000000000007</v>
      </c>
      <c r="I118" s="363"/>
    </row>
    <row r="119" spans="2:9" x14ac:dyDescent="0.25">
      <c r="B119" s="361">
        <v>42572</v>
      </c>
      <c r="C119" s="362">
        <v>100</v>
      </c>
      <c r="D119" s="363">
        <v>25</v>
      </c>
      <c r="E119" s="363">
        <v>28.89</v>
      </c>
      <c r="F119" s="363">
        <f t="shared" si="54"/>
        <v>389.00000000000006</v>
      </c>
      <c r="G119" s="363">
        <f t="shared" si="55"/>
        <v>2500</v>
      </c>
      <c r="H119" s="364">
        <f t="shared" si="56"/>
        <v>0.15560000000000002</v>
      </c>
      <c r="I119" s="363"/>
    </row>
    <row r="120" spans="2:9" x14ac:dyDescent="0.25">
      <c r="B120" s="361">
        <v>42576</v>
      </c>
      <c r="C120" s="362">
        <v>100</v>
      </c>
      <c r="D120" s="363">
        <v>25</v>
      </c>
      <c r="E120" s="363">
        <v>28.63</v>
      </c>
      <c r="F120" s="363">
        <f t="shared" si="54"/>
        <v>362.99999999999989</v>
      </c>
      <c r="G120" s="363">
        <f t="shared" si="55"/>
        <v>2500</v>
      </c>
      <c r="H120" s="364">
        <f t="shared" si="56"/>
        <v>0.14519999999999997</v>
      </c>
      <c r="I120" s="363"/>
    </row>
    <row r="121" spans="2:9" x14ac:dyDescent="0.25">
      <c r="B121" s="361">
        <v>42577</v>
      </c>
      <c r="C121" s="362">
        <v>100</v>
      </c>
      <c r="D121" s="363">
        <v>25</v>
      </c>
      <c r="E121" s="363">
        <v>29.34</v>
      </c>
      <c r="F121" s="363">
        <f t="shared" si="54"/>
        <v>434</v>
      </c>
      <c r="G121" s="363">
        <f t="shared" si="55"/>
        <v>2500</v>
      </c>
      <c r="H121" s="364">
        <f t="shared" si="56"/>
        <v>0.1736</v>
      </c>
      <c r="I121" s="363"/>
    </row>
    <row r="122" spans="2:9" x14ac:dyDescent="0.25">
      <c r="B122" s="361">
        <v>42580</v>
      </c>
      <c r="C122" s="362">
        <v>100</v>
      </c>
      <c r="D122" s="363">
        <v>25</v>
      </c>
      <c r="E122" s="363">
        <v>27</v>
      </c>
      <c r="F122" s="363">
        <f t="shared" si="54"/>
        <v>200</v>
      </c>
      <c r="G122" s="363">
        <f t="shared" si="55"/>
        <v>2500</v>
      </c>
      <c r="H122" s="364">
        <f t="shared" si="56"/>
        <v>0.08</v>
      </c>
      <c r="I122" s="363"/>
    </row>
    <row r="123" spans="2:9" x14ac:dyDescent="0.25">
      <c r="B123" s="361">
        <v>42584</v>
      </c>
      <c r="C123" s="362">
        <v>0</v>
      </c>
      <c r="D123" s="363"/>
      <c r="E123" s="363"/>
      <c r="F123" s="363">
        <v>287.94</v>
      </c>
      <c r="G123" s="363"/>
      <c r="H123" s="364"/>
      <c r="I123" s="36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2" t="s">
        <v>113</v>
      </c>
      <c r="C125" s="182" t="s">
        <v>146</v>
      </c>
      <c r="D125" s="183" t="s">
        <v>145</v>
      </c>
      <c r="E125" s="185" t="s">
        <v>147</v>
      </c>
      <c r="F125" s="185" t="s">
        <v>65</v>
      </c>
      <c r="G125" s="220" t="s">
        <v>151</v>
      </c>
      <c r="H125" s="220" t="s">
        <v>88</v>
      </c>
      <c r="I125" s="220" t="s">
        <v>154</v>
      </c>
    </row>
    <row r="126" spans="2:9" x14ac:dyDescent="0.25">
      <c r="B126" s="255">
        <v>42627</v>
      </c>
      <c r="C126" s="250">
        <v>50</v>
      </c>
      <c r="D126" s="251">
        <v>25.74</v>
      </c>
      <c r="E126" s="251">
        <v>25.83</v>
      </c>
      <c r="F126" s="251">
        <f>C126*(E126-D126)</f>
        <v>4.4999999999999929</v>
      </c>
      <c r="G126" s="251">
        <f>D126*C126</f>
        <v>1287</v>
      </c>
      <c r="H126" s="265">
        <f>(E126-D126)/D126</f>
        <v>3.4965034965034913E-3</v>
      </c>
      <c r="I126" s="251"/>
    </row>
    <row r="127" spans="2:9" x14ac:dyDescent="0.25">
      <c r="B127" s="255">
        <v>42629</v>
      </c>
      <c r="C127" s="250">
        <v>50</v>
      </c>
      <c r="D127" s="251">
        <v>25.74</v>
      </c>
      <c r="E127" s="251">
        <v>25.54</v>
      </c>
      <c r="F127" s="251">
        <f t="shared" ref="F127:F132" si="57">C127*(E127-D127)</f>
        <v>-9.9999999999999645</v>
      </c>
      <c r="G127" s="251">
        <f t="shared" ref="G127:G132" si="58">D127*C127</f>
        <v>1287</v>
      </c>
      <c r="H127" s="265">
        <f t="shared" ref="H127:H132" si="59">(E127-D127)/D127</f>
        <v>-7.7700077700077431E-3</v>
      </c>
      <c r="I127" s="251"/>
    </row>
    <row r="128" spans="2:9" x14ac:dyDescent="0.25">
      <c r="B128" s="255">
        <v>42636</v>
      </c>
      <c r="C128" s="250">
        <v>50</v>
      </c>
      <c r="D128" s="251">
        <v>25.74</v>
      </c>
      <c r="E128" s="251">
        <v>24.82</v>
      </c>
      <c r="F128" s="251">
        <f t="shared" si="57"/>
        <v>-45.999999999999908</v>
      </c>
      <c r="G128" s="251">
        <f t="shared" si="58"/>
        <v>1287</v>
      </c>
      <c r="H128" s="265">
        <f t="shared" si="59"/>
        <v>-3.5742035742035674E-2</v>
      </c>
      <c r="I128" s="251"/>
    </row>
    <row r="129" spans="2:9" x14ac:dyDescent="0.25">
      <c r="B129" s="255">
        <v>42639</v>
      </c>
      <c r="C129" s="250">
        <v>100</v>
      </c>
      <c r="D129" s="251">
        <v>24.96</v>
      </c>
      <c r="E129" s="251">
        <v>24.14</v>
      </c>
      <c r="F129" s="251">
        <f t="shared" si="57"/>
        <v>-82.000000000000028</v>
      </c>
      <c r="G129" s="251">
        <f t="shared" si="58"/>
        <v>2496</v>
      </c>
      <c r="H129" s="265">
        <f t="shared" si="59"/>
        <v>-3.2852564102564111E-2</v>
      </c>
      <c r="I129" s="251"/>
    </row>
    <row r="130" spans="2:9" x14ac:dyDescent="0.25">
      <c r="B130" s="255">
        <v>42639</v>
      </c>
      <c r="C130" s="250">
        <v>150</v>
      </c>
      <c r="D130" s="251">
        <v>24.8</v>
      </c>
      <c r="E130" s="251">
        <v>24.14</v>
      </c>
      <c r="F130" s="251">
        <f t="shared" si="57"/>
        <v>-99.000000000000028</v>
      </c>
      <c r="G130" s="251">
        <f t="shared" si="58"/>
        <v>3720</v>
      </c>
      <c r="H130" s="265">
        <f t="shared" si="59"/>
        <v>-2.6612903225806457E-2</v>
      </c>
      <c r="I130" s="251"/>
    </row>
    <row r="131" spans="2:9" x14ac:dyDescent="0.25">
      <c r="B131" s="255">
        <v>42640</v>
      </c>
      <c r="C131" s="250">
        <v>150</v>
      </c>
      <c r="D131" s="251">
        <v>24.8</v>
      </c>
      <c r="E131" s="251">
        <v>23.99</v>
      </c>
      <c r="F131" s="251">
        <f t="shared" si="57"/>
        <v>-121.50000000000034</v>
      </c>
      <c r="G131" s="251">
        <f t="shared" si="58"/>
        <v>3720</v>
      </c>
      <c r="H131" s="265">
        <f t="shared" si="59"/>
        <v>-3.2661290322580736E-2</v>
      </c>
      <c r="I131" s="251"/>
    </row>
    <row r="132" spans="2:9" x14ac:dyDescent="0.25">
      <c r="B132" s="255">
        <v>42643</v>
      </c>
      <c r="C132" s="250">
        <v>150</v>
      </c>
      <c r="D132" s="251">
        <v>24.8</v>
      </c>
      <c r="E132" s="251">
        <v>24.46</v>
      </c>
      <c r="F132" s="251">
        <f t="shared" si="57"/>
        <v>-50.999999999999979</v>
      </c>
      <c r="G132" s="251">
        <f t="shared" si="58"/>
        <v>3720</v>
      </c>
      <c r="H132" s="265">
        <f t="shared" si="59"/>
        <v>-1.3709677419354832E-2</v>
      </c>
      <c r="I132" s="251"/>
    </row>
    <row r="133" spans="2:9" x14ac:dyDescent="0.25">
      <c r="B133" s="255">
        <v>42646</v>
      </c>
      <c r="C133" s="250">
        <v>150</v>
      </c>
      <c r="D133" s="251">
        <v>24.8</v>
      </c>
      <c r="E133" s="251">
        <v>24.89</v>
      </c>
      <c r="F133" s="251">
        <f t="shared" ref="F133:F144" si="60">C133*(E133-D133)</f>
        <v>13.499999999999979</v>
      </c>
      <c r="G133" s="251">
        <f t="shared" ref="G133:G144" si="61">D133*C133</f>
        <v>3720</v>
      </c>
      <c r="H133" s="265">
        <f t="shared" ref="H133:H144" si="62">(E133-D133)/D133</f>
        <v>3.6290322580645102E-3</v>
      </c>
      <c r="I133" s="251"/>
    </row>
    <row r="134" spans="2:9" x14ac:dyDescent="0.25">
      <c r="B134" s="255">
        <v>42648</v>
      </c>
      <c r="C134" s="250">
        <v>150</v>
      </c>
      <c r="D134" s="251">
        <v>24.8</v>
      </c>
      <c r="E134" s="251">
        <v>25.07</v>
      </c>
      <c r="F134" s="251">
        <f t="shared" si="60"/>
        <v>40.499999999999936</v>
      </c>
      <c r="G134" s="251">
        <f t="shared" si="61"/>
        <v>3720</v>
      </c>
      <c r="H134" s="265">
        <f t="shared" si="62"/>
        <v>1.0887096774193531E-2</v>
      </c>
      <c r="I134" s="251"/>
    </row>
    <row r="135" spans="2:9" x14ac:dyDescent="0.25">
      <c r="B135" s="255">
        <v>42649</v>
      </c>
      <c r="C135" s="250">
        <v>150</v>
      </c>
      <c r="D135" s="251">
        <v>24.8</v>
      </c>
      <c r="E135" s="251">
        <v>24.85</v>
      </c>
      <c r="F135" s="251">
        <f t="shared" si="60"/>
        <v>7.5000000000001066</v>
      </c>
      <c r="G135" s="251">
        <f t="shared" si="61"/>
        <v>3720</v>
      </c>
      <c r="H135" s="265">
        <f t="shared" si="62"/>
        <v>2.0161290322580931E-3</v>
      </c>
      <c r="I135" s="251"/>
    </row>
    <row r="136" spans="2:9" x14ac:dyDescent="0.25">
      <c r="B136" s="255">
        <v>42650</v>
      </c>
      <c r="C136" s="250">
        <v>150</v>
      </c>
      <c r="D136" s="251">
        <v>24.8</v>
      </c>
      <c r="E136" s="251">
        <v>24.58</v>
      </c>
      <c r="F136" s="251">
        <f t="shared" si="60"/>
        <v>-33.000000000000362</v>
      </c>
      <c r="G136" s="251">
        <f t="shared" si="61"/>
        <v>3720</v>
      </c>
      <c r="H136" s="265">
        <f t="shared" si="62"/>
        <v>-8.8709677419355811E-3</v>
      </c>
      <c r="I136" s="251"/>
    </row>
    <row r="137" spans="2:9" x14ac:dyDescent="0.25">
      <c r="B137" s="255">
        <v>42661</v>
      </c>
      <c r="C137" s="250">
        <v>150</v>
      </c>
      <c r="D137" s="251">
        <v>24.8</v>
      </c>
      <c r="E137" s="251">
        <v>23.39</v>
      </c>
      <c r="F137" s="251">
        <f t="shared" si="60"/>
        <v>-211.50000000000003</v>
      </c>
      <c r="G137" s="251">
        <f t="shared" si="61"/>
        <v>3720</v>
      </c>
      <c r="H137" s="265">
        <f t="shared" si="62"/>
        <v>-5.6854838709677426E-2</v>
      </c>
      <c r="I137" s="251"/>
    </row>
    <row r="138" spans="2:9" x14ac:dyDescent="0.25">
      <c r="B138" s="255">
        <v>42662</v>
      </c>
      <c r="C138" s="250">
        <v>150</v>
      </c>
      <c r="D138" s="251">
        <v>24.8</v>
      </c>
      <c r="E138" s="251">
        <v>23.84</v>
      </c>
      <c r="F138" s="251">
        <f t="shared" si="60"/>
        <v>-144.00000000000011</v>
      </c>
      <c r="G138" s="251">
        <f t="shared" si="61"/>
        <v>3720</v>
      </c>
      <c r="H138" s="265">
        <f t="shared" si="62"/>
        <v>-3.8709677419354875E-2</v>
      </c>
      <c r="I138" s="251"/>
    </row>
    <row r="139" spans="2:9" x14ac:dyDescent="0.25">
      <c r="B139" s="255">
        <v>42664</v>
      </c>
      <c r="C139" s="250">
        <v>150</v>
      </c>
      <c r="D139" s="251">
        <v>24.8</v>
      </c>
      <c r="E139" s="251">
        <v>24.31</v>
      </c>
      <c r="F139" s="251">
        <f t="shared" si="60"/>
        <v>-73.500000000000298</v>
      </c>
      <c r="G139" s="251">
        <f t="shared" si="61"/>
        <v>3720</v>
      </c>
      <c r="H139" s="265">
        <f t="shared" si="62"/>
        <v>-1.975806451612911E-2</v>
      </c>
      <c r="I139" s="251"/>
    </row>
    <row r="140" spans="2:9" x14ac:dyDescent="0.25">
      <c r="B140" s="255">
        <v>42670</v>
      </c>
      <c r="C140" s="250">
        <v>150</v>
      </c>
      <c r="D140" s="251">
        <v>24.626899999999999</v>
      </c>
      <c r="E140" s="251">
        <v>23.93</v>
      </c>
      <c r="F140" s="251">
        <f t="shared" si="60"/>
        <v>-104.53499999999991</v>
      </c>
      <c r="G140" s="251">
        <f t="shared" si="61"/>
        <v>3694.0349999999999</v>
      </c>
      <c r="H140" s="265">
        <f t="shared" si="62"/>
        <v>-2.8298324190214743E-2</v>
      </c>
      <c r="I140" s="251"/>
    </row>
    <row r="141" spans="2:9" x14ac:dyDescent="0.25">
      <c r="B141" s="255">
        <v>42674</v>
      </c>
      <c r="C141" s="250">
        <v>150</v>
      </c>
      <c r="D141" s="251">
        <v>24.626899999999999</v>
      </c>
      <c r="E141" s="251">
        <v>23.53</v>
      </c>
      <c r="F141" s="251">
        <f t="shared" si="60"/>
        <v>-164.53499999999968</v>
      </c>
      <c r="G141" s="251">
        <f t="shared" si="61"/>
        <v>3694.0349999999999</v>
      </c>
      <c r="H141" s="265">
        <f t="shared" si="62"/>
        <v>-4.4540725791715481E-2</v>
      </c>
      <c r="I141" s="251"/>
    </row>
    <row r="142" spans="2:9" x14ac:dyDescent="0.25">
      <c r="B142" s="255">
        <v>42675</v>
      </c>
      <c r="C142" s="250">
        <v>150</v>
      </c>
      <c r="D142" s="251">
        <v>24.264700000000001</v>
      </c>
      <c r="E142" s="251">
        <v>24.32</v>
      </c>
      <c r="F142" s="251">
        <f t="shared" si="60"/>
        <v>8.2949999999998525</v>
      </c>
      <c r="G142" s="251">
        <f t="shared" si="61"/>
        <v>3639.7050000000004</v>
      </c>
      <c r="H142" s="265">
        <f t="shared" si="62"/>
        <v>2.2790308555225912E-3</v>
      </c>
      <c r="I142" s="251"/>
    </row>
    <row r="143" spans="2:9" x14ac:dyDescent="0.25">
      <c r="B143" s="255">
        <v>42676</v>
      </c>
      <c r="C143" s="250">
        <v>150</v>
      </c>
      <c r="D143" s="251">
        <v>24.264700000000001</v>
      </c>
      <c r="E143" s="251">
        <v>24.73</v>
      </c>
      <c r="F143" s="251">
        <f t="shared" si="60"/>
        <v>69.794999999999874</v>
      </c>
      <c r="G143" s="251">
        <f t="shared" si="61"/>
        <v>3639.7050000000004</v>
      </c>
      <c r="H143" s="265">
        <f t="shared" si="62"/>
        <v>1.9176004648728363E-2</v>
      </c>
      <c r="I143" s="251"/>
    </row>
    <row r="144" spans="2:9" x14ac:dyDescent="0.25">
      <c r="B144" s="255">
        <v>42704</v>
      </c>
      <c r="C144" s="250">
        <v>100</v>
      </c>
      <c r="D144" s="251">
        <v>22.507400000000001</v>
      </c>
      <c r="E144" s="251">
        <v>28.4</v>
      </c>
      <c r="F144" s="251">
        <f t="shared" si="60"/>
        <v>589.25999999999976</v>
      </c>
      <c r="G144" s="251">
        <f t="shared" si="61"/>
        <v>2250.7400000000002</v>
      </c>
      <c r="H144" s="265">
        <f t="shared" si="62"/>
        <v>0.26180722784506422</v>
      </c>
      <c r="I144" s="251"/>
    </row>
    <row r="145" spans="1:13" x14ac:dyDescent="0.25">
      <c r="B145" s="255">
        <v>42711</v>
      </c>
      <c r="C145" s="250">
        <v>0</v>
      </c>
      <c r="D145" s="251"/>
      <c r="E145" s="251"/>
      <c r="F145" s="251">
        <v>727.2</v>
      </c>
      <c r="G145" s="251"/>
      <c r="H145" s="265"/>
      <c r="I145" s="251"/>
    </row>
    <row r="146" spans="1:13" x14ac:dyDescent="0.25">
      <c r="B146" s="184"/>
      <c r="C146" s="10"/>
      <c r="D146" s="39"/>
      <c r="E146" s="39"/>
      <c r="F146" s="39"/>
      <c r="G146" s="39"/>
      <c r="H146" s="222"/>
      <c r="I146" s="39"/>
    </row>
    <row r="147" spans="1:13" x14ac:dyDescent="0.25">
      <c r="B147" s="184"/>
      <c r="C147" s="10"/>
      <c r="D147" s="39"/>
      <c r="E147" s="39"/>
      <c r="F147" s="39"/>
      <c r="G147" s="39"/>
      <c r="H147" s="222"/>
      <c r="I147" s="39"/>
    </row>
    <row r="148" spans="1:13" x14ac:dyDescent="0.25">
      <c r="B148" s="184"/>
      <c r="C148" s="10"/>
      <c r="D148" s="39"/>
      <c r="E148" s="39"/>
      <c r="F148" s="39"/>
      <c r="G148" s="39"/>
      <c r="H148" s="222"/>
      <c r="I148" s="39"/>
    </row>
    <row r="152" spans="1:13" x14ac:dyDescent="0.25">
      <c r="L152" t="s">
        <v>65</v>
      </c>
      <c r="M152" s="2">
        <f>K170+M170-F170</f>
        <v>1452.2599999999984</v>
      </c>
    </row>
    <row r="153" spans="1:13" x14ac:dyDescent="0.25">
      <c r="A153" s="449" t="s">
        <v>1</v>
      </c>
      <c r="B153" s="449" t="s">
        <v>2</v>
      </c>
      <c r="C153" s="449" t="s">
        <v>4</v>
      </c>
      <c r="D153" s="450" t="s">
        <v>5</v>
      </c>
      <c r="E153" s="450" t="s">
        <v>94</v>
      </c>
      <c r="F153" s="450" t="s">
        <v>60</v>
      </c>
      <c r="G153" s="449" t="s">
        <v>3</v>
      </c>
      <c r="H153" s="449" t="s">
        <v>6</v>
      </c>
      <c r="I153" s="450" t="s">
        <v>7</v>
      </c>
      <c r="J153" s="450" t="s">
        <v>95</v>
      </c>
      <c r="K153" s="450" t="s">
        <v>61</v>
      </c>
      <c r="L153" s="449" t="s">
        <v>37</v>
      </c>
      <c r="M153" s="449" t="s">
        <v>38</v>
      </c>
    </row>
    <row r="154" spans="1:13" x14ac:dyDescent="0.25">
      <c r="A154" s="451" t="s">
        <v>225</v>
      </c>
      <c r="B154" s="452">
        <v>42548</v>
      </c>
      <c r="C154" s="453">
        <v>100</v>
      </c>
      <c r="D154" s="454">
        <v>25</v>
      </c>
      <c r="E154" s="454">
        <v>0</v>
      </c>
      <c r="F154" s="454">
        <f>D154*C154+E154</f>
        <v>2500</v>
      </c>
      <c r="G154" s="452">
        <v>42584</v>
      </c>
      <c r="H154" s="455">
        <v>100</v>
      </c>
      <c r="I154" s="454">
        <v>27.88</v>
      </c>
      <c r="J154" s="454">
        <v>0.06</v>
      </c>
      <c r="K154" s="454">
        <f>H154*I154-J154</f>
        <v>2787.94</v>
      </c>
      <c r="L154" s="452">
        <v>42719</v>
      </c>
      <c r="M154" s="453">
        <v>41.25</v>
      </c>
    </row>
    <row r="155" spans="1:13" x14ac:dyDescent="0.25">
      <c r="A155" s="456" t="s">
        <v>71</v>
      </c>
      <c r="B155" s="452">
        <v>42627</v>
      </c>
      <c r="C155" s="453">
        <v>50</v>
      </c>
      <c r="D155" s="454">
        <v>25.74</v>
      </c>
      <c r="E155" s="454">
        <v>0</v>
      </c>
      <c r="F155" s="454">
        <v>1287</v>
      </c>
      <c r="G155" s="452" t="s">
        <v>335</v>
      </c>
      <c r="H155" s="455">
        <v>50</v>
      </c>
      <c r="I155" s="454">
        <v>25</v>
      </c>
      <c r="J155" s="454">
        <v>0.03</v>
      </c>
      <c r="K155" s="454">
        <v>1249.97</v>
      </c>
      <c r="L155" s="453"/>
      <c r="M155" s="453"/>
    </row>
    <row r="156" spans="1:13" x14ac:dyDescent="0.25">
      <c r="A156" s="453"/>
      <c r="B156" s="452">
        <v>42639</v>
      </c>
      <c r="C156" s="453">
        <v>50</v>
      </c>
      <c r="D156" s="454">
        <v>24.48</v>
      </c>
      <c r="E156" s="454">
        <v>0</v>
      </c>
      <c r="F156" s="454">
        <v>1224</v>
      </c>
      <c r="G156" s="452" t="s">
        <v>335</v>
      </c>
      <c r="H156" s="455">
        <v>100</v>
      </c>
      <c r="I156" s="454">
        <v>24.88</v>
      </c>
      <c r="J156" s="454">
        <v>0.05</v>
      </c>
      <c r="K156" s="454">
        <v>2487.9499999999998</v>
      </c>
      <c r="L156" s="453"/>
      <c r="M156" s="453"/>
    </row>
    <row r="157" spans="1:13" x14ac:dyDescent="0.25">
      <c r="A157" s="453"/>
      <c r="B157" s="452">
        <v>42639</v>
      </c>
      <c r="C157" s="453">
        <v>50</v>
      </c>
      <c r="D157" s="454">
        <v>24.18</v>
      </c>
      <c r="E157" s="454">
        <v>0</v>
      </c>
      <c r="F157" s="454">
        <v>1209</v>
      </c>
      <c r="G157" s="452" t="s">
        <v>335</v>
      </c>
      <c r="H157" s="455">
        <v>50</v>
      </c>
      <c r="I157" s="454">
        <v>27.78</v>
      </c>
      <c r="J157" s="454">
        <v>0.03</v>
      </c>
      <c r="K157" s="454">
        <v>1388.97</v>
      </c>
      <c r="L157" s="453"/>
      <c r="M157" s="453"/>
    </row>
    <row r="158" spans="1:13" x14ac:dyDescent="0.25">
      <c r="A158" s="453"/>
      <c r="B158" s="452">
        <v>42670</v>
      </c>
      <c r="C158" s="453">
        <v>50</v>
      </c>
      <c r="D158" s="454">
        <v>24.48</v>
      </c>
      <c r="E158" s="454">
        <v>0</v>
      </c>
      <c r="F158" s="454">
        <v>1224</v>
      </c>
      <c r="G158" s="452" t="s">
        <v>335</v>
      </c>
      <c r="H158" s="455">
        <v>100</v>
      </c>
      <c r="I158" s="454">
        <v>29.78</v>
      </c>
      <c r="J158" s="454">
        <v>0.06</v>
      </c>
      <c r="K158" s="454">
        <v>2977.94</v>
      </c>
      <c r="L158" s="453"/>
      <c r="M158" s="453"/>
    </row>
    <row r="159" spans="1:13" x14ac:dyDescent="0.25">
      <c r="A159" s="453"/>
      <c r="B159" s="452" t="s">
        <v>335</v>
      </c>
      <c r="C159" s="453">
        <v>100</v>
      </c>
      <c r="D159" s="454">
        <v>24.34</v>
      </c>
      <c r="E159" s="454">
        <v>-0.37</v>
      </c>
      <c r="F159" s="454">
        <v>2433.63</v>
      </c>
      <c r="G159" s="453"/>
      <c r="H159" s="455"/>
      <c r="I159" s="454"/>
      <c r="J159" s="454"/>
      <c r="K159" s="454"/>
      <c r="L159" s="453"/>
      <c r="M159" s="453"/>
    </row>
    <row r="160" spans="1:13" x14ac:dyDescent="0.25">
      <c r="A160" s="453"/>
      <c r="B160" s="496">
        <v>42723</v>
      </c>
      <c r="C160" s="497">
        <v>100</v>
      </c>
      <c r="D160" s="499">
        <v>27.98</v>
      </c>
      <c r="E160" s="499">
        <v>0</v>
      </c>
      <c r="F160" s="499">
        <f>D160*C160+E160</f>
        <v>2798</v>
      </c>
      <c r="G160" s="496">
        <v>42724</v>
      </c>
      <c r="H160" s="497">
        <v>100</v>
      </c>
      <c r="I160" s="499">
        <v>27.94</v>
      </c>
      <c r="J160" s="499">
        <v>0.06</v>
      </c>
      <c r="K160" s="499">
        <f>I160*H160-J160</f>
        <v>2793.94</v>
      </c>
      <c r="L160" s="453"/>
      <c r="M160" s="453"/>
    </row>
    <row r="161" spans="1:13" x14ac:dyDescent="0.25">
      <c r="A161" s="453"/>
      <c r="B161" s="434">
        <v>42724</v>
      </c>
      <c r="C161" s="7">
        <v>100</v>
      </c>
      <c r="D161" s="43">
        <v>27.58</v>
      </c>
      <c r="E161" s="43">
        <v>0</v>
      </c>
      <c r="F161" s="43">
        <f>D161*C161+E161</f>
        <v>2758</v>
      </c>
      <c r="G161" s="434">
        <v>42758</v>
      </c>
      <c r="H161" s="80">
        <v>100</v>
      </c>
      <c r="I161" s="43">
        <v>31.58</v>
      </c>
      <c r="J161" s="43">
        <v>7.0000000000000007E-2</v>
      </c>
      <c r="K161" s="43">
        <f>H161*I161-J161</f>
        <v>3157.93</v>
      </c>
      <c r="L161" s="453"/>
      <c r="M161" s="453"/>
    </row>
    <row r="162" spans="1:13" x14ac:dyDescent="0.25">
      <c r="A162" s="453"/>
      <c r="B162" s="453"/>
      <c r="C162" s="453"/>
      <c r="D162" s="454"/>
      <c r="E162" s="454"/>
      <c r="F162" s="454"/>
      <c r="G162" s="453"/>
      <c r="H162" s="455"/>
      <c r="I162" s="454"/>
      <c r="J162" s="454"/>
      <c r="K162" s="454"/>
      <c r="L162" s="453"/>
      <c r="M162" s="453"/>
    </row>
    <row r="163" spans="1:13" x14ac:dyDescent="0.25">
      <c r="A163" s="453"/>
      <c r="B163" s="453"/>
      <c r="C163" s="453"/>
      <c r="D163" s="454"/>
      <c r="E163" s="454"/>
      <c r="F163" s="454"/>
      <c r="G163" s="453"/>
      <c r="H163" s="455"/>
      <c r="I163" s="454"/>
      <c r="J163" s="454"/>
      <c r="K163" s="454"/>
      <c r="L163" s="453"/>
      <c r="M163" s="453"/>
    </row>
    <row r="164" spans="1:13" x14ac:dyDescent="0.25">
      <c r="A164" s="453"/>
      <c r="B164" s="453"/>
      <c r="C164" s="453"/>
      <c r="D164" s="454"/>
      <c r="E164" s="454"/>
      <c r="F164" s="454"/>
      <c r="G164" s="453"/>
      <c r="H164" s="455"/>
      <c r="I164" s="454"/>
      <c r="J164" s="454"/>
      <c r="K164" s="454"/>
      <c r="L164" s="453"/>
      <c r="M164" s="453"/>
    </row>
    <row r="165" spans="1:13" x14ac:dyDescent="0.25">
      <c r="A165" s="453"/>
      <c r="B165" s="453"/>
      <c r="C165" s="453"/>
      <c r="D165" s="454"/>
      <c r="E165" s="454"/>
      <c r="F165" s="454"/>
      <c r="G165" s="453"/>
      <c r="H165" s="455"/>
      <c r="I165" s="454"/>
      <c r="J165" s="454"/>
      <c r="K165" s="454"/>
      <c r="L165" s="453"/>
      <c r="M165" s="453"/>
    </row>
    <row r="166" spans="1:13" x14ac:dyDescent="0.25">
      <c r="A166" s="453"/>
      <c r="B166" s="453"/>
      <c r="C166" s="453"/>
      <c r="D166" s="454"/>
      <c r="E166" s="454"/>
      <c r="F166" s="454"/>
      <c r="G166" s="453"/>
      <c r="H166" s="455"/>
      <c r="I166" s="454"/>
      <c r="J166" s="454"/>
      <c r="K166" s="454"/>
      <c r="L166" s="453"/>
      <c r="M166" s="453"/>
    </row>
    <row r="167" spans="1:13" x14ac:dyDescent="0.25">
      <c r="A167" s="453"/>
      <c r="B167" s="453"/>
      <c r="C167" s="453"/>
      <c r="D167" s="454"/>
      <c r="E167" s="454"/>
      <c r="F167" s="454"/>
      <c r="G167" s="453"/>
      <c r="H167" s="455"/>
      <c r="I167" s="454"/>
      <c r="J167" s="454"/>
      <c r="K167" s="454"/>
      <c r="L167" s="453"/>
      <c r="M167" s="453"/>
    </row>
    <row r="168" spans="1:13" x14ac:dyDescent="0.25">
      <c r="A168" s="453"/>
      <c r="B168" s="453"/>
      <c r="C168" s="453"/>
      <c r="D168" s="454"/>
      <c r="E168" s="454"/>
      <c r="F168" s="454"/>
      <c r="G168" s="453"/>
      <c r="H168" s="455"/>
      <c r="I168" s="454"/>
      <c r="J168" s="454"/>
      <c r="K168" s="454"/>
      <c r="L168" s="453"/>
      <c r="M168" s="453"/>
    </row>
    <row r="169" spans="1:13" x14ac:dyDescent="0.25">
      <c r="A169" s="453"/>
      <c r="B169" s="453"/>
      <c r="C169" s="453"/>
      <c r="D169" s="454"/>
      <c r="E169" s="454"/>
      <c r="F169" s="454"/>
      <c r="G169" s="453"/>
      <c r="H169" s="453"/>
      <c r="I169" s="454"/>
      <c r="J169" s="454"/>
      <c r="K169" s="454"/>
      <c r="L169" s="453"/>
      <c r="M169" s="453"/>
    </row>
    <row r="170" spans="1:13" x14ac:dyDescent="0.25">
      <c r="A170" s="63" t="s">
        <v>81</v>
      </c>
      <c r="B170" s="64"/>
      <c r="C170" s="64">
        <f>SUM(C154:C169)</f>
        <v>600</v>
      </c>
      <c r="D170" s="65"/>
      <c r="E170" s="65"/>
      <c r="F170" s="65">
        <f>SUM(F154:F169)</f>
        <v>15433.630000000001</v>
      </c>
      <c r="G170" s="64"/>
      <c r="H170" s="544">
        <f>SUM(H154:H169)</f>
        <v>600</v>
      </c>
      <c r="I170" s="65"/>
      <c r="J170" s="65"/>
      <c r="K170" s="65">
        <f>SUM(K154:K169)</f>
        <v>16844.64</v>
      </c>
      <c r="L170" s="64"/>
      <c r="M170" s="65">
        <f>SUM(M154:M162)</f>
        <v>41.25</v>
      </c>
    </row>
    <row r="171" spans="1:13" ht="15.75" thickBot="1" x14ac:dyDescent="0.3">
      <c r="A171" s="457" t="s">
        <v>193</v>
      </c>
      <c r="B171" s="458"/>
      <c r="C171" s="459">
        <f>SumByColor($A$33,C154:C169)</f>
        <v>100</v>
      </c>
      <c r="D171" s="459"/>
      <c r="E171" s="459"/>
      <c r="F171" s="460">
        <f>SumByColor($A$33,F154:F169)</f>
        <v>2758</v>
      </c>
      <c r="G171" s="459"/>
      <c r="H171" s="459">
        <f>SumByColor($A$33,H154:H169)</f>
        <v>100</v>
      </c>
      <c r="I171" s="459"/>
      <c r="J171" s="459"/>
      <c r="K171" s="460">
        <f>SumByColor($A$33,K154:K169)</f>
        <v>3158</v>
      </c>
      <c r="L171" s="459"/>
      <c r="M171" s="460">
        <f>SumByColor($A$33,M154:M169)</f>
        <v>0</v>
      </c>
    </row>
  </sheetData>
  <mergeCells count="1">
    <mergeCell ref="O16:P16"/>
  </mergeCells>
  <conditionalFormatting sqref="O17:O37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3:F124 H123:H124 H130:H148 F130:F148 K85:K92 H85:H92 F85:F92 K105:K107 F105:F107 H105:H107">
    <cfRule type="expression" dxfId="1038" priority="72">
      <formula>F85&gt;0</formula>
    </cfRule>
    <cfRule type="expression" dxfId="1037" priority="73">
      <formula>F85&lt;0</formula>
    </cfRule>
  </conditionalFormatting>
  <conditionalFormatting sqref="Q7">
    <cfRule type="expression" dxfId="1036" priority="60">
      <formula>Q7&gt;0</formula>
    </cfRule>
    <cfRule type="expression" dxfId="1035" priority="61">
      <formula>Q7&lt;0</formula>
    </cfRule>
  </conditionalFormatting>
  <conditionalFormatting sqref="Q8">
    <cfRule type="expression" dxfId="1034" priority="58">
      <formula>Q8&gt;0</formula>
    </cfRule>
    <cfRule type="expression" dxfId="1033" priority="59">
      <formula>Q8&lt;0</formula>
    </cfRule>
  </conditionalFormatting>
  <conditionalFormatting sqref="F110:F122">
    <cfRule type="expression" dxfId="1032" priority="56">
      <formula>F110&gt;0</formula>
    </cfRule>
    <cfRule type="expression" dxfId="1031" priority="57">
      <formula>F110&lt;0</formula>
    </cfRule>
  </conditionalFormatting>
  <conditionalFormatting sqref="H110:H122">
    <cfRule type="expression" dxfId="1030" priority="54">
      <formula>H110&gt;0</formula>
    </cfRule>
    <cfRule type="expression" dxfId="1029" priority="55">
      <formula>H110&lt;0</formula>
    </cfRule>
  </conditionalFormatting>
  <conditionalFormatting sqref="H126:H129">
    <cfRule type="expression" dxfId="1028" priority="50">
      <formula>H126&gt;0</formula>
    </cfRule>
    <cfRule type="expression" dxfId="1027" priority="51">
      <formula>H126&lt;0</formula>
    </cfRule>
  </conditionalFormatting>
  <conditionalFormatting sqref="F126:F129">
    <cfRule type="expression" dxfId="1026" priority="52">
      <formula>F126&gt;0</formula>
    </cfRule>
    <cfRule type="expression" dxfId="1025" priority="53">
      <formula>F126&lt;0</formula>
    </cfRule>
  </conditionalFormatting>
  <conditionalFormatting sqref="M152">
    <cfRule type="expression" dxfId="1024" priority="48">
      <formula>M152&gt;0</formula>
    </cfRule>
    <cfRule type="expression" dxfId="1023" priority="49">
      <formula>M152&lt;0</formula>
    </cfRule>
  </conditionalFormatting>
  <conditionalFormatting sqref="F37:F38 F45:F82">
    <cfRule type="expression" dxfId="1022" priority="46">
      <formula>F37&gt;0</formula>
    </cfRule>
    <cfRule type="expression" dxfId="1021" priority="47">
      <formula>F37&lt;0</formula>
    </cfRule>
  </conditionalFormatting>
  <conditionalFormatting sqref="H37:H38 H45:H82">
    <cfRule type="expression" dxfId="1020" priority="44">
      <formula>H37&gt;0</formula>
    </cfRule>
    <cfRule type="expression" dxfId="1019" priority="45">
      <formula>H37&lt;0</formula>
    </cfRule>
  </conditionalFormatting>
  <conditionalFormatting sqref="Q10">
    <cfRule type="expression" dxfId="1018" priority="42">
      <formula>Q10&gt;0</formula>
    </cfRule>
    <cfRule type="expression" dxfId="1017" priority="43">
      <formula>Q10&lt;0</formula>
    </cfRule>
  </conditionalFormatting>
  <conditionalFormatting sqref="F39:F44">
    <cfRule type="expression" dxfId="1016" priority="40">
      <formula>F39&gt;0</formula>
    </cfRule>
    <cfRule type="expression" dxfId="1015" priority="41">
      <formula>F39&lt;0</formula>
    </cfRule>
  </conditionalFormatting>
  <conditionalFormatting sqref="H39:H44">
    <cfRule type="expression" dxfId="1014" priority="38">
      <formula>H39&gt;0</formula>
    </cfRule>
    <cfRule type="expression" dxfId="1013" priority="39">
      <formula>H39&lt;0</formula>
    </cfRule>
  </conditionalFormatting>
  <conditionalFormatting sqref="K42:K49">
    <cfRule type="expression" dxfId="1012" priority="36">
      <formula>K42&gt;0</formula>
    </cfRule>
    <cfRule type="expression" dxfId="1011" priority="37">
      <formula>K42&lt;0</formula>
    </cfRule>
  </conditionalFormatting>
  <conditionalFormatting sqref="K50:K82">
    <cfRule type="expression" dxfId="1010" priority="34">
      <formula>K50&gt;0</formula>
    </cfRule>
    <cfRule type="expression" dxfId="1009" priority="35">
      <formula>K50&lt;0</formula>
    </cfRule>
  </conditionalFormatting>
  <conditionalFormatting sqref="F83:F84">
    <cfRule type="expression" dxfId="1008" priority="31">
      <formula>F83&gt;0</formula>
    </cfRule>
    <cfRule type="expression" dxfId="1007" priority="32">
      <formula>F83&lt;0</formula>
    </cfRule>
  </conditionalFormatting>
  <conditionalFormatting sqref="H83:H84">
    <cfRule type="expression" dxfId="1006" priority="29">
      <formula>H83&gt;0</formula>
    </cfRule>
    <cfRule type="expression" dxfId="1005" priority="30">
      <formula>H83&lt;0</formula>
    </cfRule>
  </conditionalFormatting>
  <conditionalFormatting sqref="K83:K84">
    <cfRule type="expression" dxfId="1004" priority="27">
      <formula>K83&gt;0</formula>
    </cfRule>
    <cfRule type="expression" dxfId="1003" priority="28">
      <formula>K83&lt;0</formula>
    </cfRule>
  </conditionalFormatting>
  <conditionalFormatting sqref="F93:F95 H93:H95 K93:K95">
    <cfRule type="expression" dxfId="1002" priority="23">
      <formula>F93&gt;0</formula>
    </cfRule>
    <cfRule type="expression" dxfId="1001" priority="24">
      <formula>F93&lt;0</formula>
    </cfRule>
  </conditionalFormatting>
  <conditionalFormatting sqref="L85:L91 L105:L107">
    <cfRule type="expression" dxfId="1000" priority="21">
      <formula>L85&gt;0</formula>
    </cfRule>
    <cfRule type="expression" dxfId="999" priority="22">
      <formula>L85&lt;0</formula>
    </cfRule>
  </conditionalFormatting>
  <conditionalFormatting sqref="L42:L49">
    <cfRule type="expression" dxfId="998" priority="19">
      <formula>L42&gt;0</formula>
    </cfRule>
    <cfRule type="expression" dxfId="997" priority="20">
      <formula>L42&lt;0</formula>
    </cfRule>
  </conditionalFormatting>
  <conditionalFormatting sqref="L50:L82">
    <cfRule type="expression" dxfId="996" priority="17">
      <formula>L50&gt;0</formula>
    </cfRule>
    <cfRule type="expression" dxfId="995" priority="18">
      <formula>L50&lt;0</formula>
    </cfRule>
  </conditionalFormatting>
  <conditionalFormatting sqref="L83:L84">
    <cfRule type="expression" dxfId="994" priority="15">
      <formula>L83&gt;0</formula>
    </cfRule>
    <cfRule type="expression" dxfId="993" priority="16">
      <formula>L83&lt;0</formula>
    </cfRule>
  </conditionalFormatting>
  <conditionalFormatting sqref="L93:L95">
    <cfRule type="expression" dxfId="992" priority="13">
      <formula>L93&gt;0</formula>
    </cfRule>
    <cfRule type="expression" dxfId="991" priority="14">
      <formula>L93&lt;0</formula>
    </cfRule>
  </conditionalFormatting>
  <conditionalFormatting sqref="K102:K104 F102:F104 H102:H104">
    <cfRule type="expression" dxfId="990" priority="11">
      <formula>F102&gt;0</formula>
    </cfRule>
    <cfRule type="expression" dxfId="989" priority="12">
      <formula>F102&lt;0</formula>
    </cfRule>
  </conditionalFormatting>
  <conditionalFormatting sqref="L102:L104">
    <cfRule type="expression" dxfId="988" priority="9">
      <formula>L102&gt;0</formula>
    </cfRule>
    <cfRule type="expression" dxfId="987" priority="10">
      <formula>L102&lt;0</formula>
    </cfRule>
  </conditionalFormatting>
  <conditionalFormatting sqref="K99:K101 F99:F101 H99:H101">
    <cfRule type="expression" dxfId="986" priority="7">
      <formula>F99&gt;0</formula>
    </cfRule>
    <cfRule type="expression" dxfId="985" priority="8">
      <formula>F99&lt;0</formula>
    </cfRule>
  </conditionalFormatting>
  <conditionalFormatting sqref="L99:L101">
    <cfRule type="expression" dxfId="984" priority="5">
      <formula>L99&gt;0</formula>
    </cfRule>
    <cfRule type="expression" dxfId="983" priority="6">
      <formula>L99&lt;0</formula>
    </cfRule>
  </conditionalFormatting>
  <conditionalFormatting sqref="K96:K98 F96:F98 H96:H98">
    <cfRule type="expression" dxfId="982" priority="3">
      <formula>F96&gt;0</formula>
    </cfRule>
    <cfRule type="expression" dxfId="981" priority="4">
      <formula>F96&lt;0</formula>
    </cfRule>
  </conditionalFormatting>
  <conditionalFormatting sqref="L97:L98">
    <cfRule type="expression" dxfId="980" priority="1">
      <formula>L97&gt;0</formula>
    </cfRule>
    <cfRule type="expression" dxfId="979" priority="2">
      <formula>L97&lt;0</formula>
    </cfRule>
  </conditionalFormatting>
  <hyperlinks>
    <hyperlink ref="A3" location="ACTIVE!A1" display="Back"/>
    <hyperlink ref="A155" location="ACTIVE!A1" display="Back"/>
    <hyperlink ref="V3" r:id="rId1"/>
  </hyperlinks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57.36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57.36</v>
      </c>
      <c r="R4" s="475">
        <v>6.6E-3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208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207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513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1" t="s">
        <v>78</v>
      </c>
      <c r="P40" s="851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63.096000000000004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62.522400000000005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61.948800000000006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61.3752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60.801600000000001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60.228000000000002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59.654400000000003</v>
      </c>
      <c r="Q47" s="2"/>
      <c r="T47" s="91" t="s">
        <v>315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59.080800000000004</v>
      </c>
      <c r="Q48" s="2"/>
      <c r="T48" s="91" t="s">
        <v>316</v>
      </c>
      <c r="U48" s="86" t="s">
        <v>498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58.507199999999997</v>
      </c>
      <c r="Q49" s="2"/>
      <c r="T49" s="91" t="s">
        <v>317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57.933599999999998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57.36</v>
      </c>
      <c r="Q51" s="2"/>
      <c r="T51" s="91" t="s">
        <v>104</v>
      </c>
      <c r="U51" s="86" t="s">
        <v>600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56.7864</v>
      </c>
      <c r="Q52" s="2"/>
      <c r="T52" s="91" t="s">
        <v>105</v>
      </c>
      <c r="U52" s="86" t="s">
        <v>512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56.212800000000001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55.639199999999995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223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234</v>
      </c>
      <c r="M55" s="250"/>
      <c r="O55" s="81">
        <v>0.96</v>
      </c>
      <c r="P55" s="81">
        <f t="shared" si="5"/>
        <v>55.065599999999996</v>
      </c>
      <c r="T55" s="91" t="s">
        <v>318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54.491999999999997</v>
      </c>
      <c r="T56" s="91" t="s">
        <v>319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53.918399999999998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53.344799999999999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52.7712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52.197600000000001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51.624000000000002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78" priority="9">
      <formula>F39&gt;0</formula>
    </cfRule>
    <cfRule type="expression" dxfId="977" priority="10">
      <formula>F39&lt;0</formula>
    </cfRule>
  </conditionalFormatting>
  <conditionalFormatting sqref="F25:F38">
    <cfRule type="expression" dxfId="976" priority="7">
      <formula>F25&gt;0</formula>
    </cfRule>
    <cfRule type="expression" dxfId="975" priority="8">
      <formula>F25&lt;0</formula>
    </cfRule>
  </conditionalFormatting>
  <conditionalFormatting sqref="H25:H38">
    <cfRule type="expression" dxfId="974" priority="5">
      <formula>H25&gt;0</formula>
    </cfRule>
    <cfRule type="expression" dxfId="973" priority="6">
      <formula>H25&lt;0</formula>
    </cfRule>
  </conditionalFormatting>
  <conditionalFormatting sqref="Q7">
    <cfRule type="expression" dxfId="972" priority="3">
      <formula>Q7&gt;0</formula>
    </cfRule>
    <cfRule type="expression" dxfId="971" priority="4">
      <formula>Q7&lt;0</formula>
    </cfRule>
  </conditionalFormatting>
  <conditionalFormatting sqref="Q8">
    <cfRule type="expression" dxfId="970" priority="1">
      <formula>Q8&gt;0</formula>
    </cfRule>
    <cfRule type="expression" dxfId="969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823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463.89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463.89</v>
      </c>
      <c r="R4" s="495">
        <v>2.8199999999999999E-2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4"/>
    </row>
    <row r="10" spans="1:23" x14ac:dyDescent="0.25">
      <c r="H10" s="70"/>
      <c r="O10" s="11" t="s">
        <v>207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51" t="s">
        <v>78</v>
      </c>
      <c r="P14" s="851"/>
      <c r="W14" s="134"/>
    </row>
    <row r="15" spans="1:23" ht="15.75" thickTop="1" x14ac:dyDescent="0.25">
      <c r="H15" s="70"/>
      <c r="O15" s="81">
        <v>1.1000000000000001</v>
      </c>
      <c r="P15" s="81">
        <f>O15*$Q$4</f>
        <v>510.27900000000005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505.64010000000002</v>
      </c>
      <c r="W16" s="134"/>
    </row>
    <row r="17" spans="1:23" x14ac:dyDescent="0.25">
      <c r="O17" s="81">
        <v>1.08</v>
      </c>
      <c r="P17" s="81">
        <f t="shared" si="0"/>
        <v>501.00120000000004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496.3623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491.72340000000003</v>
      </c>
      <c r="W19" s="134"/>
    </row>
    <row r="20" spans="1:23" x14ac:dyDescent="0.25">
      <c r="O20" s="81">
        <v>1.05</v>
      </c>
      <c r="P20" s="81">
        <f t="shared" si="0"/>
        <v>487.08449999999999</v>
      </c>
      <c r="W20" s="134"/>
    </row>
    <row r="21" spans="1:23" x14ac:dyDescent="0.25">
      <c r="O21" s="81">
        <v>1.04</v>
      </c>
      <c r="P21" s="81">
        <f t="shared" si="0"/>
        <v>482.44560000000001</v>
      </c>
      <c r="W21" s="134"/>
    </row>
    <row r="22" spans="1:23" x14ac:dyDescent="0.25">
      <c r="O22" s="81">
        <v>1.03</v>
      </c>
      <c r="P22" s="81">
        <f t="shared" si="0"/>
        <v>477.80669999999998</v>
      </c>
      <c r="W22" s="134"/>
    </row>
    <row r="23" spans="1:23" x14ac:dyDescent="0.25">
      <c r="O23" s="81">
        <v>1.02</v>
      </c>
      <c r="P23" s="81">
        <f t="shared" si="0"/>
        <v>473.1678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497</v>
      </c>
      <c r="K24" s="220" t="s">
        <v>178</v>
      </c>
      <c r="L24" s="220"/>
      <c r="O24" s="81">
        <v>1.01</v>
      </c>
      <c r="P24" s="81">
        <f t="shared" si="0"/>
        <v>468.52889999999996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2">
        <f t="shared" ref="H25" si="3"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463.89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2">
        <f t="shared" ref="H26" si="6"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459.25110000000001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454.61219999999997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449.97329999999999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445.33439999999996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440.69549999999998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436.05659999999995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431.41770000000002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426.77879999999999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422.13990000000001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417.50099999999998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823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68" priority="29">
      <formula>F29&gt;0</formula>
    </cfRule>
    <cfRule type="expression" dxfId="967" priority="30">
      <formula>F29&lt;0</formula>
    </cfRule>
  </conditionalFormatting>
  <conditionalFormatting sqref="Q7">
    <cfRule type="expression" dxfId="966" priority="27">
      <formula>Q7&gt;0</formula>
    </cfRule>
    <cfRule type="expression" dxfId="965" priority="28">
      <formula>Q7&lt;0</formula>
    </cfRule>
  </conditionalFormatting>
  <conditionalFormatting sqref="Q8">
    <cfRule type="expression" dxfId="964" priority="25">
      <formula>Q8&gt;0</formula>
    </cfRule>
    <cfRule type="expression" dxfId="963" priority="26">
      <formula>Q8&lt;0</formula>
    </cfRule>
  </conditionalFormatting>
  <conditionalFormatting sqref="F96:F110">
    <cfRule type="expression" dxfId="962" priority="19">
      <formula>F96&gt;0</formula>
    </cfRule>
    <cfRule type="expression" dxfId="961" priority="20">
      <formula>F96&lt;0</formula>
    </cfRule>
  </conditionalFormatting>
  <conditionalFormatting sqref="H96:H110">
    <cfRule type="expression" dxfId="960" priority="17">
      <formula>H96&gt;0</formula>
    </cfRule>
    <cfRule type="expression" dxfId="959" priority="18">
      <formula>H96&lt;0</formula>
    </cfRule>
  </conditionalFormatting>
  <conditionalFormatting sqref="Q10">
    <cfRule type="expression" dxfId="958" priority="15">
      <formula>Q10&gt;0</formula>
    </cfRule>
    <cfRule type="expression" dxfId="957" priority="16">
      <formula>Q10&lt;0</formula>
    </cfRule>
  </conditionalFormatting>
  <conditionalFormatting sqref="L29:L38">
    <cfRule type="expression" dxfId="956" priority="9">
      <formula>L29&gt;0</formula>
    </cfRule>
    <cfRule type="expression" dxfId="955" priority="10">
      <formula>L29&lt;0</formula>
    </cfRule>
  </conditionalFormatting>
  <conditionalFormatting sqref="F27:F29 H27:H29 J25:K29">
    <cfRule type="expression" dxfId="954" priority="7">
      <formula>F25&gt;0</formula>
    </cfRule>
    <cfRule type="expression" dxfId="953" priority="8">
      <formula>F25&lt;0</formula>
    </cfRule>
  </conditionalFormatting>
  <conditionalFormatting sqref="L25:L29">
    <cfRule type="expression" dxfId="952" priority="5">
      <formula>L25&gt;0</formula>
    </cfRule>
    <cfRule type="expression" dxfId="951" priority="6">
      <formula>L25&lt;0</formula>
    </cfRule>
  </conditionalFormatting>
  <conditionalFormatting sqref="F25:F26">
    <cfRule type="expression" dxfId="950" priority="3">
      <formula>F25&gt;0</formula>
    </cfRule>
    <cfRule type="expression" dxfId="949" priority="4">
      <formula>F25&lt;0</formula>
    </cfRule>
  </conditionalFormatting>
  <conditionalFormatting sqref="H25:H26">
    <cfRule type="expression" dxfId="948" priority="1">
      <formula>H25&gt;0</formula>
    </cfRule>
    <cfRule type="expression" dxfId="947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8" activePane="bottomLeft" state="frozen"/>
      <selection activeCell="A2" sqref="A2"/>
      <selection pane="bottomLeft" activeCell="I9" sqref="I9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849</v>
      </c>
      <c r="B2" s="434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884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>C3*D3+E3</f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82.575749999999942</v>
      </c>
      <c r="T3" s="1">
        <v>43114</v>
      </c>
      <c r="U3" t="s">
        <v>885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>C4*D4+E4</f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96.739900000000006</v>
      </c>
      <c r="R4" s="495">
        <v>7.1999999999999998E-3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>C5*D5+E5</f>
        <v>3312.7999999999997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3869.5960000000005</v>
      </c>
      <c r="T5" s="1">
        <v>43121</v>
      </c>
      <c r="U5" t="s">
        <v>902</v>
      </c>
      <c r="W5" s="134"/>
    </row>
    <row r="6" spans="1:23" x14ac:dyDescent="0.25">
      <c r="B6" s="72">
        <v>43216</v>
      </c>
      <c r="C6" s="7">
        <v>40</v>
      </c>
      <c r="D6" s="43">
        <v>84.8</v>
      </c>
      <c r="E6" s="43">
        <v>0</v>
      </c>
      <c r="F6" s="43">
        <f>C6*D6+E6</f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3303.0299999999979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566.56600000000162</v>
      </c>
      <c r="R7">
        <v>40</v>
      </c>
      <c r="T7" s="1">
        <v>43138</v>
      </c>
      <c r="U7" t="s">
        <v>983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566.56600000000162</v>
      </c>
      <c r="T8" s="1"/>
      <c r="U8" t="s">
        <v>984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0.1715291716999246</v>
      </c>
      <c r="U9" t="s">
        <v>985</v>
      </c>
      <c r="W9" s="134"/>
    </row>
    <row r="10" spans="1:23" x14ac:dyDescent="0.25">
      <c r="H10" s="70"/>
      <c r="O10" s="11" t="s">
        <v>207</v>
      </c>
      <c r="P10" s="33"/>
      <c r="Q10" s="2">
        <f>M66</f>
        <v>0</v>
      </c>
      <c r="U10" t="s">
        <v>987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2.3568351838279756E-2</v>
      </c>
      <c r="R11">
        <f>0.57</f>
        <v>0.56999999999999995</v>
      </c>
      <c r="W11" s="134"/>
    </row>
    <row r="12" spans="1:23" x14ac:dyDescent="0.25">
      <c r="H12" s="70"/>
      <c r="O12" s="11" t="s">
        <v>946</v>
      </c>
      <c r="Q12" s="1"/>
      <c r="W12" s="134"/>
    </row>
    <row r="13" spans="1:23" x14ac:dyDescent="0.25">
      <c r="H13" s="70"/>
      <c r="O13" s="11" t="s">
        <v>973</v>
      </c>
      <c r="Q13" s="2">
        <f>Q4/4.76</f>
        <v>20.323508403361348</v>
      </c>
      <c r="T13" s="1">
        <v>43213</v>
      </c>
      <c r="U13" t="s">
        <v>986</v>
      </c>
      <c r="W13" s="134"/>
    </row>
    <row r="14" spans="1:23" x14ac:dyDescent="0.25">
      <c r="H14" s="70"/>
      <c r="U14" t="s">
        <v>1025</v>
      </c>
      <c r="W14" s="134"/>
    </row>
    <row r="15" spans="1:23" x14ac:dyDescent="0.25">
      <c r="H15" s="70"/>
      <c r="U15" t="s">
        <v>1026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1095</v>
      </c>
      <c r="W17" s="134"/>
    </row>
    <row r="18" spans="1:23" ht="20.25" thickBot="1" x14ac:dyDescent="0.35">
      <c r="A18" s="31" t="s">
        <v>81</v>
      </c>
      <c r="B18" s="14"/>
      <c r="C18" s="14">
        <f>SUM(C2:C7)</f>
        <v>180</v>
      </c>
      <c r="D18" s="18"/>
      <c r="E18" s="18"/>
      <c r="F18" s="18">
        <f>SUM(F2:F7)</f>
        <v>15700.8</v>
      </c>
      <c r="G18" s="14"/>
      <c r="H18" s="71">
        <f>SUM(H2:H5)</f>
        <v>140</v>
      </c>
      <c r="I18" s="18"/>
      <c r="J18" s="18"/>
      <c r="K18" s="18">
        <f>SUM(K2:K5)</f>
        <v>12311.970000000001</v>
      </c>
      <c r="L18" s="14"/>
      <c r="M18" s="18">
        <f>SUM(M2:M10)</f>
        <v>85.8</v>
      </c>
      <c r="O18" s="851" t="s">
        <v>78</v>
      </c>
      <c r="P18" s="851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140</v>
      </c>
      <c r="D19" s="343"/>
      <c r="E19" s="343"/>
      <c r="F19" s="344">
        <f>SumByColor($A$19,F2:F17)</f>
        <v>12098</v>
      </c>
      <c r="G19" s="343"/>
      <c r="H19" s="343">
        <f>SumByColor($A$19,H2:H17)</f>
        <v>140</v>
      </c>
      <c r="I19" s="343"/>
      <c r="J19" s="343"/>
      <c r="K19" s="344">
        <f>SumByColor($A$19,K2:K17)</f>
        <v>12312</v>
      </c>
      <c r="L19" s="343"/>
      <c r="M19" s="344">
        <f>SumByColor($A$19,M2:M17)</f>
        <v>86</v>
      </c>
      <c r="O19" s="81">
        <v>1.1000000000000001</v>
      </c>
      <c r="P19" s="81">
        <f>O19*$Q$4</f>
        <v>106.41389000000001</v>
      </c>
      <c r="W19" s="134"/>
    </row>
    <row r="20" spans="1:23" x14ac:dyDescent="0.25">
      <c r="O20" s="81">
        <v>1.0900000000000001</v>
      </c>
      <c r="P20" s="81">
        <f t="shared" ref="P20:P39" si="0">O20*$Q$4</f>
        <v>105.44649100000001</v>
      </c>
      <c r="W20" s="134"/>
    </row>
    <row r="21" spans="1:23" x14ac:dyDescent="0.25">
      <c r="O21" s="81">
        <v>1.08</v>
      </c>
      <c r="P21" s="81">
        <f t="shared" si="0"/>
        <v>104.47909200000001</v>
      </c>
      <c r="W21" s="134"/>
    </row>
    <row r="22" spans="1:23" x14ac:dyDescent="0.25">
      <c r="O22" s="81">
        <v>1.07</v>
      </c>
      <c r="P22" s="81">
        <f t="shared" si="0"/>
        <v>103.51169300000001</v>
      </c>
      <c r="W22" s="134"/>
    </row>
    <row r="23" spans="1:23" x14ac:dyDescent="0.25">
      <c r="O23" s="81">
        <v>1.06</v>
      </c>
      <c r="P23" s="81">
        <f t="shared" si="0"/>
        <v>102.54429400000001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497</v>
      </c>
      <c r="K24" s="220" t="s">
        <v>973</v>
      </c>
      <c r="L24" s="220"/>
      <c r="O24" s="81">
        <v>1.05</v>
      </c>
      <c r="P24" s="81">
        <f t="shared" si="0"/>
        <v>101.57689500000001</v>
      </c>
      <c r="W24" s="134"/>
    </row>
    <row r="25" spans="1:23" x14ac:dyDescent="0.25">
      <c r="B25" s="184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2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100.60949600000001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2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99.642097000000007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2">
        <f t="shared" ref="H27" si="9">(E27-D27)/D27</f>
        <v>-4.2571212053671486E-3</v>
      </c>
      <c r="I27" s="39"/>
      <c r="J27" s="39"/>
      <c r="K27" s="39"/>
      <c r="L27" s="155"/>
      <c r="O27" s="81">
        <v>1.02</v>
      </c>
      <c r="P27" s="81">
        <f t="shared" si="0"/>
        <v>98.674698000000006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2">
        <f t="shared" ref="H28" si="12">(E28-D28)/D28</f>
        <v>-2.2199438327464054E-2</v>
      </c>
      <c r="I28" s="39"/>
      <c r="J28" s="39"/>
      <c r="K28" s="39"/>
      <c r="L28" s="155"/>
      <c r="O28" s="81">
        <v>1.01</v>
      </c>
      <c r="P28" s="81">
        <f t="shared" si="0"/>
        <v>97.707299000000006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2">
        <f t="shared" ref="H29" si="15">(E29-D29)/D29</f>
        <v>-3.6575580617839748E-2</v>
      </c>
      <c r="I29" s="39"/>
      <c r="J29" s="39"/>
      <c r="K29" s="39"/>
      <c r="L29" s="155"/>
      <c r="O29" s="81">
        <v>1</v>
      </c>
      <c r="P29" s="81">
        <f t="shared" si="0"/>
        <v>96.739900000000006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2">
        <f t="shared" ref="H30" si="18">(E30-D30)/D30</f>
        <v>-6.1427361476396387E-2</v>
      </c>
      <c r="I30" s="39"/>
      <c r="J30" s="39"/>
      <c r="K30" s="39"/>
      <c r="L30" s="155"/>
      <c r="O30" s="81">
        <v>0.99</v>
      </c>
      <c r="P30" s="81">
        <f t="shared" si="0"/>
        <v>95.772501000000005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2">
        <f t="shared" ref="H31" si="21">(E31-D31)/D31</f>
        <v>-5.1843266616145869E-2</v>
      </c>
      <c r="I31" s="39"/>
      <c r="J31" s="39"/>
      <c r="K31" s="39"/>
      <c r="L31" s="155"/>
      <c r="O31" s="81">
        <v>0.98</v>
      </c>
      <c r="P31" s="81">
        <f t="shared" si="0"/>
        <v>94.805102000000005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2">
        <f t="shared" ref="H32" si="24">(E32-D32)/D32</f>
        <v>-6.3099005928765731E-2</v>
      </c>
      <c r="I32" s="39"/>
      <c r="J32" s="39"/>
      <c r="K32" s="39"/>
      <c r="L32" s="155"/>
      <c r="O32" s="81">
        <v>0.97</v>
      </c>
      <c r="P32" s="81">
        <f t="shared" si="0"/>
        <v>93.837703000000005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ref="F33:F36" si="25">C33*(E33-D33)</f>
        <v>-530.19999999999925</v>
      </c>
      <c r="G33" s="39">
        <f t="shared" ref="G33:G36" si="26">D33*C33</f>
        <v>8973.2000000000007</v>
      </c>
      <c r="H33" s="222">
        <f t="shared" ref="H33:H36" si="27">(E33-D33)/D33</f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0"/>
        <v>92.870304000000004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5"/>
        <v>-691.19400000000019</v>
      </c>
      <c r="G34" s="39">
        <f t="shared" si="26"/>
        <v>12285.993999999999</v>
      </c>
      <c r="H34" s="222">
        <f t="shared" si="27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0"/>
        <v>91.902905000000004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5"/>
        <v>-212.07999999999885</v>
      </c>
      <c r="G35" s="39">
        <f t="shared" si="26"/>
        <v>8824.08</v>
      </c>
      <c r="H35" s="222">
        <f t="shared" si="27"/>
        <v>-2.4034233597156743E-2</v>
      </c>
      <c r="I35" s="39"/>
      <c r="J35" s="39"/>
      <c r="K35" s="39"/>
      <c r="L35" s="155"/>
      <c r="O35" s="81">
        <v>0.94</v>
      </c>
      <c r="P35" s="81">
        <f t="shared" si="0"/>
        <v>90.935506000000004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5"/>
        <v>-202.67799999999966</v>
      </c>
      <c r="G36" s="39">
        <f t="shared" si="26"/>
        <v>12216.078</v>
      </c>
      <c r="H36" s="222">
        <f t="shared" si="27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89.968107000000003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ref="F37:F39" si="28">C37*(E37-D37)</f>
        <v>17.000000000000171</v>
      </c>
      <c r="G37" s="39">
        <f t="shared" ref="G37:G39" si="29">D37*C37</f>
        <v>8721</v>
      </c>
      <c r="H37" s="222">
        <f t="shared" ref="H37:H39" si="30">(E37-D37)/D37</f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0"/>
        <v>89.000708000000003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8"/>
        <v>170.00000000000028</v>
      </c>
      <c r="G38" s="39">
        <f t="shared" si="29"/>
        <v>8658</v>
      </c>
      <c r="H38" s="222">
        <f t="shared" si="30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0"/>
        <v>88.033309000000003</v>
      </c>
      <c r="W38" s="134"/>
    </row>
    <row r="39" spans="1:23" x14ac:dyDescent="0.25">
      <c r="B39" s="184">
        <v>43258</v>
      </c>
      <c r="C39" s="10">
        <v>40</v>
      </c>
      <c r="D39" s="39">
        <v>82.575699999999998</v>
      </c>
      <c r="E39" s="39">
        <v>88.81</v>
      </c>
      <c r="F39" s="39">
        <f t="shared" si="28"/>
        <v>249.37200000000018</v>
      </c>
      <c r="G39" s="39">
        <f t="shared" si="29"/>
        <v>3303.0279999999998</v>
      </c>
      <c r="H39" s="222">
        <f t="shared" si="30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0"/>
        <v>87.065910000000002</v>
      </c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849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46" priority="25">
      <formula>F47&gt;0</formula>
    </cfRule>
    <cfRule type="expression" dxfId="945" priority="26">
      <formula>F47&lt;0</formula>
    </cfRule>
  </conditionalFormatting>
  <conditionalFormatting sqref="Q7">
    <cfRule type="expression" dxfId="944" priority="23">
      <formula>Q7&gt;0</formula>
    </cfRule>
    <cfRule type="expression" dxfId="943" priority="24">
      <formula>Q7&lt;0</formula>
    </cfRule>
  </conditionalFormatting>
  <conditionalFormatting sqref="Q8">
    <cfRule type="expression" dxfId="942" priority="21">
      <formula>Q8&gt;0</formula>
    </cfRule>
    <cfRule type="expression" dxfId="941" priority="22">
      <formula>Q8&lt;0</formula>
    </cfRule>
  </conditionalFormatting>
  <conditionalFormatting sqref="F25:F29 F34:F46">
    <cfRule type="expression" dxfId="940" priority="19">
      <formula>F25&gt;0</formula>
    </cfRule>
    <cfRule type="expression" dxfId="939" priority="20">
      <formula>F25&lt;0</formula>
    </cfRule>
  </conditionalFormatting>
  <conditionalFormatting sqref="H25:H29 H34:H46">
    <cfRule type="expression" dxfId="938" priority="17">
      <formula>H25&gt;0</formula>
    </cfRule>
    <cfRule type="expression" dxfId="937" priority="18">
      <formula>H25&lt;0</formula>
    </cfRule>
  </conditionalFormatting>
  <conditionalFormatting sqref="F89:F110">
    <cfRule type="expression" dxfId="936" priority="15">
      <formula>F89&gt;0</formula>
    </cfRule>
    <cfRule type="expression" dxfId="935" priority="16">
      <formula>F89&lt;0</formula>
    </cfRule>
  </conditionalFormatting>
  <conditionalFormatting sqref="H89:H110">
    <cfRule type="expression" dxfId="934" priority="13">
      <formula>H89&gt;0</formula>
    </cfRule>
    <cfRule type="expression" dxfId="933" priority="14">
      <formula>H89&lt;0</formula>
    </cfRule>
  </conditionalFormatting>
  <conditionalFormatting sqref="Q10">
    <cfRule type="expression" dxfId="932" priority="11">
      <formula>Q10&gt;0</formula>
    </cfRule>
    <cfRule type="expression" dxfId="931" priority="12">
      <formula>Q10&lt;0</formula>
    </cfRule>
  </conditionalFormatting>
  <conditionalFormatting sqref="J25:J32 J34:J38">
    <cfRule type="expression" dxfId="930" priority="9">
      <formula>J25&gt;0</formula>
    </cfRule>
    <cfRule type="expression" dxfId="929" priority="10">
      <formula>J25&lt;0</formula>
    </cfRule>
  </conditionalFormatting>
  <conditionalFormatting sqref="K25:K30">
    <cfRule type="expression" dxfId="928" priority="7">
      <formula>K25&gt;0</formula>
    </cfRule>
    <cfRule type="expression" dxfId="927" priority="8">
      <formula>K25&lt;0</formula>
    </cfRule>
  </conditionalFormatting>
  <conditionalFormatting sqref="L25:L38">
    <cfRule type="expression" dxfId="926" priority="5">
      <formula>L25&gt;0</formula>
    </cfRule>
    <cfRule type="expression" dxfId="925" priority="6">
      <formula>L25&lt;0</formula>
    </cfRule>
  </conditionalFormatting>
  <conditionalFormatting sqref="F30:F33">
    <cfRule type="expression" dxfId="924" priority="3">
      <formula>F30&gt;0</formula>
    </cfRule>
    <cfRule type="expression" dxfId="923" priority="4">
      <formula>F30&lt;0</formula>
    </cfRule>
  </conditionalFormatting>
  <conditionalFormatting sqref="H30:H33">
    <cfRule type="expression" dxfId="922" priority="1">
      <formula>H30&gt;0</formula>
    </cfRule>
    <cfRule type="expression" dxfId="921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733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1020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76.31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76.31</v>
      </c>
      <c r="R4" s="495">
        <v>6.7000000000000002E-3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813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812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816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U9" t="s">
        <v>814</v>
      </c>
      <c r="W9" s="134"/>
    </row>
    <row r="10" spans="1:23" x14ac:dyDescent="0.25">
      <c r="H10" s="70"/>
      <c r="O10" s="11" t="s">
        <v>207</v>
      </c>
      <c r="P10" s="33"/>
      <c r="Q10" s="2">
        <f>M41</f>
        <v>459.31999999999971</v>
      </c>
      <c r="U10" t="s">
        <v>815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946</v>
      </c>
      <c r="Q12" s="1"/>
      <c r="T12" s="1">
        <v>43114</v>
      </c>
      <c r="U12" t="s">
        <v>866</v>
      </c>
      <c r="W12" s="134"/>
    </row>
    <row r="13" spans="1:23" x14ac:dyDescent="0.25">
      <c r="H13" s="70"/>
      <c r="O13" s="11" t="s">
        <v>973</v>
      </c>
      <c r="Q13" s="2">
        <f>Q4/(4.03+4.14)*2</f>
        <v>18.680538555691555</v>
      </c>
      <c r="U13" t="s">
        <v>867</v>
      </c>
      <c r="W13" s="134"/>
    </row>
    <row r="14" spans="1:23" x14ac:dyDescent="0.25">
      <c r="H14" s="70"/>
      <c r="U14" t="s">
        <v>869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51" t="s">
        <v>78</v>
      </c>
      <c r="P16" s="851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83.941000000000003</v>
      </c>
      <c r="Q17" s="2"/>
      <c r="U17" t="s">
        <v>972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83.177900000000008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82.414800000000014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81.651700000000005</v>
      </c>
      <c r="Q20" s="2"/>
      <c r="W20" s="134"/>
    </row>
    <row r="21" spans="1:23" x14ac:dyDescent="0.25">
      <c r="O21" s="81">
        <v>1.06</v>
      </c>
      <c r="P21" s="81">
        <f t="shared" si="0"/>
        <v>80.888600000000011</v>
      </c>
      <c r="Q21" s="2"/>
      <c r="T21" s="1">
        <v>43283</v>
      </c>
      <c r="U21" t="s">
        <v>1153</v>
      </c>
      <c r="W21" s="134"/>
    </row>
    <row r="22" spans="1:23" x14ac:dyDescent="0.25">
      <c r="O22" s="81">
        <v>1.05</v>
      </c>
      <c r="P22" s="81">
        <f t="shared" si="0"/>
        <v>80.125500000000002</v>
      </c>
      <c r="Q22" s="2"/>
      <c r="W22" s="134"/>
    </row>
    <row r="23" spans="1:23" x14ac:dyDescent="0.25">
      <c r="O23" s="81">
        <v>1.04</v>
      </c>
      <c r="P23" s="81">
        <f t="shared" si="0"/>
        <v>79.362400000000008</v>
      </c>
      <c r="Q23" s="2"/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497</v>
      </c>
      <c r="K24" s="220"/>
      <c r="L24" s="220" t="s">
        <v>973</v>
      </c>
      <c r="M24" s="220" t="s">
        <v>150</v>
      </c>
      <c r="O24" s="81">
        <v>1.03</v>
      </c>
      <c r="P24" s="81">
        <f t="shared" si="0"/>
        <v>78.599299999999999</v>
      </c>
      <c r="Q24" s="2"/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 t="shared" ref="F25:F26" si="1">C25*(E25-D25)</f>
        <v>-15.999999999999659</v>
      </c>
      <c r="G25" s="39">
        <f t="shared" ref="G25:G26" si="2">D25*C25</f>
        <v>6936</v>
      </c>
      <c r="H25" s="222">
        <f t="shared" ref="H25:H26" si="3"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77.836200000000005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 t="shared" si="1"/>
        <v>443.99999999999977</v>
      </c>
      <c r="G26" s="39">
        <f t="shared" si="2"/>
        <v>6936</v>
      </c>
      <c r="H26" s="222">
        <f t="shared" si="3"/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77.073099999999997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 t="shared" ref="F27" si="4">C27*(E27-D27)</f>
        <v>510.9499999999997</v>
      </c>
      <c r="G27" s="39">
        <f t="shared" ref="G27" si="5">D27*C27</f>
        <v>3212.55</v>
      </c>
      <c r="H27" s="222">
        <f t="shared" ref="H27" si="6"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76.31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75.546900000000008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74.783799999999999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74.020700000000005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73.257599999999996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72.494500000000002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71.731399999999994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70.968299999999999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70.205200000000005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69.442100000000011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68.679000000000002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733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7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7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7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7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7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7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7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497</v>
      </c>
      <c r="K64" s="488"/>
      <c r="L64" s="488" t="s">
        <v>973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8">C65*(E65-D65)</f>
        <v>196.00000000000009</v>
      </c>
      <c r="G65" s="363">
        <f t="shared" ref="G65:G88" si="9">D65*C65</f>
        <v>4033.5</v>
      </c>
      <c r="H65" s="364">
        <f t="shared" ref="H65:H88" si="10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8"/>
        <v>204.50000000000017</v>
      </c>
      <c r="G66" s="363">
        <f t="shared" si="9"/>
        <v>7942.5</v>
      </c>
      <c r="H66" s="364">
        <f t="shared" si="10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8"/>
        <v>-1441.4999999999991</v>
      </c>
      <c r="G67" s="363">
        <f t="shared" si="9"/>
        <v>14797.5</v>
      </c>
      <c r="H67" s="364">
        <f t="shared" si="10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8"/>
        <v>-510.58499999999896</v>
      </c>
      <c r="G68" s="363">
        <f t="shared" si="9"/>
        <v>11228.084999999999</v>
      </c>
      <c r="H68" s="364">
        <f t="shared" si="10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8"/>
        <v>-1091.0849999999996</v>
      </c>
      <c r="G69" s="363">
        <f t="shared" si="9"/>
        <v>11228.084999999999</v>
      </c>
      <c r="H69" s="364">
        <f t="shared" si="10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8"/>
        <v>-659.08500000000026</v>
      </c>
      <c r="G70" s="363">
        <f t="shared" si="9"/>
        <v>11228.084999999999</v>
      </c>
      <c r="H70" s="364">
        <f t="shared" si="10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8"/>
        <v>-236.15999999999957</v>
      </c>
      <c r="G71" s="363">
        <f t="shared" si="9"/>
        <v>7564.16</v>
      </c>
      <c r="H71" s="364">
        <f t="shared" si="10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8"/>
        <v>-130.15999999999934</v>
      </c>
      <c r="G72" s="363">
        <f t="shared" si="9"/>
        <v>7564.16</v>
      </c>
      <c r="H72" s="364">
        <f t="shared" si="10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8"/>
        <v>-285.15999999999906</v>
      </c>
      <c r="G73" s="363">
        <f t="shared" si="9"/>
        <v>7564.16</v>
      </c>
      <c r="H73" s="364">
        <f t="shared" si="10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8"/>
        <v>-80.159999999999343</v>
      </c>
      <c r="G74" s="363">
        <f t="shared" si="9"/>
        <v>7564.16</v>
      </c>
      <c r="H74" s="364">
        <f t="shared" si="10"/>
        <v>-1.0597343260851086E-2</v>
      </c>
      <c r="I74" s="363"/>
      <c r="J74" s="363">
        <v>65</v>
      </c>
      <c r="K74" s="489" t="s">
        <v>868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8"/>
        <v>103.75000000000014</v>
      </c>
      <c r="G75" s="363">
        <f t="shared" si="9"/>
        <v>3730.25</v>
      </c>
      <c r="H75" s="364">
        <f t="shared" si="10"/>
        <v>2.7813149252731088E-2</v>
      </c>
      <c r="I75" s="363"/>
      <c r="J75" s="363">
        <v>70</v>
      </c>
      <c r="K75" s="489" t="s">
        <v>893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8"/>
        <v>-32.249999999999091</v>
      </c>
      <c r="G76" s="363">
        <f t="shared" si="9"/>
        <v>7494.25</v>
      </c>
      <c r="H76" s="364">
        <f t="shared" si="10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8"/>
        <v>101.9999999999996</v>
      </c>
      <c r="G77" s="363">
        <f t="shared" si="9"/>
        <v>7494</v>
      </c>
      <c r="H77" s="364">
        <f t="shared" si="10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8"/>
        <v>392.00000000000017</v>
      </c>
      <c r="G78" s="363">
        <f t="shared" si="9"/>
        <v>3554.5</v>
      </c>
      <c r="H78" s="364">
        <f t="shared" si="10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8"/>
        <v>129.66000000000122</v>
      </c>
      <c r="G79" s="363">
        <f t="shared" si="9"/>
        <v>7438.3399999999992</v>
      </c>
      <c r="H79" s="364">
        <f t="shared" si="10"/>
        <v>1.7431308598424008E-2</v>
      </c>
      <c r="I79" s="363" t="s">
        <v>916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8"/>
        <v>-600</v>
      </c>
      <c r="G80" s="363">
        <f t="shared" si="9"/>
        <v>7438</v>
      </c>
      <c r="H80" s="364">
        <f t="shared" si="10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8"/>
        <v>-682.33999999999924</v>
      </c>
      <c r="G81" s="363">
        <f t="shared" si="9"/>
        <v>14276.339999999998</v>
      </c>
      <c r="H81" s="364">
        <f t="shared" si="10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8"/>
        <v>-1237.9999999999995</v>
      </c>
      <c r="G82" s="363">
        <f t="shared" si="9"/>
        <v>14276</v>
      </c>
      <c r="H82" s="364">
        <f t="shared" si="10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8"/>
        <v>-589.99999999999773</v>
      </c>
      <c r="G83" s="363">
        <f t="shared" si="9"/>
        <v>14276</v>
      </c>
      <c r="H83" s="364">
        <f t="shared" si="10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8"/>
        <v>-1357.9999999999984</v>
      </c>
      <c r="G84" s="363">
        <f t="shared" si="9"/>
        <v>14276</v>
      </c>
      <c r="H84" s="364">
        <f t="shared" si="10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8"/>
        <v>-1167.9999999999977</v>
      </c>
      <c r="G85" s="363">
        <f t="shared" si="9"/>
        <v>14276</v>
      </c>
      <c r="H85" s="364">
        <f t="shared" si="10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8"/>
        <v>-1259.9999999999995</v>
      </c>
      <c r="G86" s="363">
        <f t="shared" si="9"/>
        <v>14276</v>
      </c>
      <c r="H86" s="364">
        <f t="shared" si="10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8"/>
        <v>-919.99999999999886</v>
      </c>
      <c r="G87" s="363">
        <f t="shared" si="9"/>
        <v>14276</v>
      </c>
      <c r="H87" s="364">
        <f t="shared" si="10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8"/>
        <v>-462.00000000000045</v>
      </c>
      <c r="G88" s="363">
        <f t="shared" si="9"/>
        <v>14276</v>
      </c>
      <c r="H88" s="364">
        <f t="shared" si="10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20" priority="49">
      <formula>Q7&gt;0</formula>
    </cfRule>
    <cfRule type="expression" dxfId="919" priority="50">
      <formula>Q7&lt;0</formula>
    </cfRule>
  </conditionalFormatting>
  <conditionalFormatting sqref="Q8">
    <cfRule type="expression" dxfId="918" priority="47">
      <formula>Q8&gt;0</formula>
    </cfRule>
    <cfRule type="expression" dxfId="917" priority="48">
      <formula>Q8&lt;0</formula>
    </cfRule>
  </conditionalFormatting>
  <conditionalFormatting sqref="F26:F38">
    <cfRule type="expression" dxfId="916" priority="45">
      <formula>F26&gt;0</formula>
    </cfRule>
    <cfRule type="expression" dxfId="915" priority="46">
      <formula>F26&lt;0</formula>
    </cfRule>
  </conditionalFormatting>
  <conditionalFormatting sqref="H26:H38">
    <cfRule type="expression" dxfId="914" priority="43">
      <formula>H26&gt;0</formula>
    </cfRule>
    <cfRule type="expression" dxfId="913" priority="44">
      <formula>H26&lt;0</formula>
    </cfRule>
  </conditionalFormatting>
  <conditionalFormatting sqref="H25">
    <cfRule type="expression" dxfId="912" priority="23">
      <formula>H25&gt;0</formula>
    </cfRule>
    <cfRule type="expression" dxfId="911" priority="24">
      <formula>H25&lt;0</formula>
    </cfRule>
  </conditionalFormatting>
  <conditionalFormatting sqref="Q10">
    <cfRule type="expression" dxfId="910" priority="37">
      <formula>Q10&gt;0</formula>
    </cfRule>
    <cfRule type="expression" dxfId="909" priority="38">
      <formula>Q10&lt;0</formula>
    </cfRule>
  </conditionalFormatting>
  <conditionalFormatting sqref="F25">
    <cfRule type="expression" dxfId="908" priority="25">
      <formula>F25&gt;0</formula>
    </cfRule>
    <cfRule type="expression" dxfId="907" priority="26">
      <formula>F25&lt;0</formula>
    </cfRule>
  </conditionalFormatting>
  <conditionalFormatting sqref="J65:K72">
    <cfRule type="expression" dxfId="906" priority="19">
      <formula>J65&gt;0</formula>
    </cfRule>
    <cfRule type="expression" dxfId="905" priority="20">
      <formula>J65&lt;0</formula>
    </cfRule>
  </conditionalFormatting>
  <conditionalFormatting sqref="F65:F83 F89">
    <cfRule type="expression" dxfId="904" priority="17">
      <formula>F65&gt;0</formula>
    </cfRule>
    <cfRule type="expression" dxfId="903" priority="18">
      <formula>F65&lt;0</formula>
    </cfRule>
  </conditionalFormatting>
  <conditionalFormatting sqref="H65:H83 H89">
    <cfRule type="expression" dxfId="902" priority="15">
      <formula>H65&gt;0</formula>
    </cfRule>
    <cfRule type="expression" dxfId="901" priority="16">
      <formula>H65&lt;0</formula>
    </cfRule>
  </conditionalFormatting>
  <conditionalFormatting sqref="J76:J78">
    <cfRule type="expression" dxfId="900" priority="13">
      <formula>J76&gt;0</formula>
    </cfRule>
    <cfRule type="expression" dxfId="899" priority="14">
      <formula>J76&lt;0</formula>
    </cfRule>
  </conditionalFormatting>
  <conditionalFormatting sqref="K76:K78">
    <cfRule type="expression" dxfId="898" priority="11">
      <formula>K76&gt;0</formula>
    </cfRule>
    <cfRule type="expression" dxfId="897" priority="12">
      <formula>K76&lt;0</formula>
    </cfRule>
  </conditionalFormatting>
  <conditionalFormatting sqref="L65:L78">
    <cfRule type="expression" dxfId="896" priority="9">
      <formula>L65&gt;0</formula>
    </cfRule>
    <cfRule type="expression" dxfId="895" priority="10">
      <formula>L65&lt;0</formula>
    </cfRule>
  </conditionalFormatting>
  <conditionalFormatting sqref="F84:F88">
    <cfRule type="expression" dxfId="894" priority="7">
      <formula>F84&gt;0</formula>
    </cfRule>
    <cfRule type="expression" dxfId="893" priority="8">
      <formula>F84&lt;0</formula>
    </cfRule>
  </conditionalFormatting>
  <conditionalFormatting sqref="H84:H88">
    <cfRule type="expression" dxfId="892" priority="5">
      <formula>H84&gt;0</formula>
    </cfRule>
    <cfRule type="expression" dxfId="891" priority="6">
      <formula>H84&lt;0</formula>
    </cfRule>
  </conditionalFormatting>
  <conditionalFormatting sqref="M65:M78">
    <cfRule type="expression" dxfId="890" priority="3">
      <formula>M65&gt;0</formula>
    </cfRule>
    <cfRule type="expression" dxfId="889" priority="4">
      <formula>M65&lt;0</formula>
    </cfRule>
  </conditionalFormatting>
  <conditionalFormatting sqref="M26:M31">
    <cfRule type="expression" dxfId="888" priority="1">
      <formula>M26&gt;0</formula>
    </cfRule>
    <cfRule type="expression" dxfId="887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1104</v>
      </c>
      <c r="Z1" s="11" t="s">
        <v>1102</v>
      </c>
      <c r="AA1" s="11" t="s">
        <v>1103</v>
      </c>
      <c r="AB1" s="11" t="s">
        <v>1105</v>
      </c>
      <c r="AC1" s="11" t="s">
        <v>1102</v>
      </c>
      <c r="AD1" s="11" t="s">
        <v>1103</v>
      </c>
      <c r="AE1" s="11" t="s">
        <v>1106</v>
      </c>
      <c r="AF1" s="11" t="s">
        <v>1102</v>
      </c>
      <c r="AG1" s="11" t="s">
        <v>1103</v>
      </c>
      <c r="AH1" s="11" t="s">
        <v>1107</v>
      </c>
      <c r="AI1" s="11" t="s">
        <v>1102</v>
      </c>
      <c r="AJ1" s="11" t="s">
        <v>1103</v>
      </c>
      <c r="AK1" s="11" t="s">
        <v>1108</v>
      </c>
      <c r="AM1" s="11" t="s">
        <v>1109</v>
      </c>
      <c r="AO1" s="11" t="s">
        <v>1110</v>
      </c>
    </row>
    <row r="2" spans="1:41" x14ac:dyDescent="0.25">
      <c r="A2" s="6" t="s">
        <v>824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8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400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192</v>
      </c>
      <c r="AJ2">
        <f>$Q$2*$Q$4</f>
        <v>9303.9599999999991</v>
      </c>
      <c r="AK2">
        <f ca="1">AJ2*EXP(-$X$2 * AI2/365.25)</f>
        <v>16414.430479096816</v>
      </c>
      <c r="AM2" s="2">
        <f>Q10</f>
        <v>0</v>
      </c>
      <c r="AO2">
        <f ca="1" xml:space="preserve"> (SUM(AB:AB) - SUM(AE:AE) - SUM(AH:AH) - SUM(AK:AK))/SUM(AB:AB)</f>
        <v>-0.12349386983274643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 t="shared" ref="F3:F5" si="1"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30.841699999999999</v>
      </c>
      <c r="U3" t="s">
        <v>1018</v>
      </c>
      <c r="W3" s="134"/>
      <c r="Z3">
        <f t="shared" ref="Z3:Z15" si="2">B3-$B$2</f>
        <v>0</v>
      </c>
      <c r="AA3" s="2">
        <f t="shared" ref="AA3:AA15" si="3">F3</f>
        <v>1805.9999999999998</v>
      </c>
      <c r="AB3">
        <f t="shared" ref="AB3:AB17" si="4">AA3*EXP(-Z3/365.25 * $X$2)</f>
        <v>1805.9999999999998</v>
      </c>
      <c r="AC3">
        <f t="shared" ref="AC3:AC15" si="5">G3-$B$2</f>
        <v>84</v>
      </c>
      <c r="AD3" s="2">
        <f t="shared" ref="AD3:AD15" si="6">K3</f>
        <v>2202.3399999999997</v>
      </c>
      <c r="AE3">
        <f t="shared" ref="AE3:AE17" si="7">AD3*EXP(-AC3/365.25 * $X$2)</f>
        <v>2823.2769657080917</v>
      </c>
      <c r="AF3">
        <f t="shared" ref="AF3:AF15" si="8">L3-$B$2</f>
        <v>121</v>
      </c>
      <c r="AG3" s="2">
        <f t="shared" ref="AG3:AG15" si="9">M3</f>
        <v>130</v>
      </c>
      <c r="AH3">
        <f t="shared" ref="AH3:AH17" si="10">AG3*EXP(-AF3/365.25 * $X$2)</f>
        <v>185.92005905832642</v>
      </c>
      <c r="AI3" s="2">
        <f t="shared" ref="AI3:AI17" ca="1" si="11">TODAY()-$B$2</f>
        <v>192</v>
      </c>
      <c r="AJ3">
        <f t="shared" ref="AJ3:AJ17" si="12">$Q$2*$Q$4</f>
        <v>9303.9599999999991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 t="shared" si="1"/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4"/>
      <c r="M4" s="4"/>
      <c r="O4" s="11" t="s">
        <v>66</v>
      </c>
      <c r="Q4" s="54">
        <v>23.259899999999998</v>
      </c>
      <c r="R4" s="495">
        <v>7.7999999999999996E-3</v>
      </c>
      <c r="U4" t="s">
        <v>1019</v>
      </c>
      <c r="W4" s="134"/>
      <c r="Z4">
        <f t="shared" si="2"/>
        <v>32</v>
      </c>
      <c r="AA4" s="2">
        <f t="shared" si="3"/>
        <v>3668</v>
      </c>
      <c r="AB4">
        <f t="shared" si="4"/>
        <v>4032.0167200469227</v>
      </c>
      <c r="AC4">
        <f t="shared" si="5"/>
        <v>98</v>
      </c>
      <c r="AD4" s="2">
        <f t="shared" si="6"/>
        <v>2297.9499999999998</v>
      </c>
      <c r="AE4">
        <f t="shared" si="7"/>
        <v>3070.3499595755325</v>
      </c>
      <c r="AF4">
        <f t="shared" si="8"/>
        <v>-43098</v>
      </c>
      <c r="AG4" s="2">
        <f t="shared" si="9"/>
        <v>0</v>
      </c>
      <c r="AH4">
        <f t="shared" si="10"/>
        <v>0</v>
      </c>
      <c r="AI4" s="2">
        <f t="shared" ca="1" si="11"/>
        <v>192</v>
      </c>
      <c r="AJ4">
        <f t="shared" si="12"/>
        <v>9303.9599999999991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 t="shared" si="1"/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9303.9599999999991</v>
      </c>
      <c r="W5" s="134"/>
      <c r="Z5">
        <f t="shared" si="2"/>
        <v>34</v>
      </c>
      <c r="AA5" s="2">
        <f t="shared" si="3"/>
        <v>3416.3399999999997</v>
      </c>
      <c r="AB5">
        <f t="shared" si="4"/>
        <v>3777.6558943258942</v>
      </c>
      <c r="AC5">
        <f t="shared" si="5"/>
        <v>119</v>
      </c>
      <c r="AD5" s="2">
        <f t="shared" si="6"/>
        <v>2388.94</v>
      </c>
      <c r="AE5">
        <f t="shared" si="7"/>
        <v>3396.4077741528404</v>
      </c>
      <c r="AF5">
        <f t="shared" si="8"/>
        <v>-43098</v>
      </c>
      <c r="AG5" s="2">
        <f t="shared" si="9"/>
        <v>0</v>
      </c>
      <c r="AH5">
        <f t="shared" si="10"/>
        <v>0</v>
      </c>
      <c r="AI5" s="2">
        <f t="shared" ca="1" si="11"/>
        <v>192</v>
      </c>
      <c r="AJ5">
        <f t="shared" si="12"/>
        <v>9303.9599999999991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 t="shared" ref="F6" si="13"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12336.68</v>
      </c>
      <c r="T6" s="1">
        <v>43032</v>
      </c>
      <c r="U6" t="s">
        <v>883</v>
      </c>
      <c r="W6" s="134"/>
      <c r="Z6">
        <f t="shared" si="2"/>
        <v>34</v>
      </c>
      <c r="AA6" s="2">
        <f t="shared" si="3"/>
        <v>105.66</v>
      </c>
      <c r="AB6">
        <f t="shared" si="4"/>
        <v>116.83471838121322</v>
      </c>
      <c r="AC6">
        <f t="shared" si="5"/>
        <v>174</v>
      </c>
      <c r="AD6" s="2">
        <f t="shared" si="6"/>
        <v>4975.9399999999996</v>
      </c>
      <c r="AE6">
        <f t="shared" si="7"/>
        <v>8323.7362072375236</v>
      </c>
      <c r="AF6">
        <f t="shared" si="8"/>
        <v>-43098</v>
      </c>
      <c r="AG6" s="2">
        <f t="shared" si="9"/>
        <v>0</v>
      </c>
      <c r="AH6">
        <f t="shared" si="10"/>
        <v>0</v>
      </c>
      <c r="AI6" s="2">
        <f t="shared" ca="1" si="11"/>
        <v>192</v>
      </c>
      <c r="AJ6">
        <f t="shared" si="12"/>
        <v>9303.9599999999991</v>
      </c>
    </row>
    <row r="7" spans="1:41" x14ac:dyDescent="0.25">
      <c r="B7" s="434">
        <v>43160</v>
      </c>
      <c r="C7" s="4">
        <v>100</v>
      </c>
      <c r="D7" s="3">
        <v>28.28</v>
      </c>
      <c r="E7" s="3">
        <v>0</v>
      </c>
      <c r="F7" s="3">
        <f t="shared" ref="F7:F15" si="14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-3032.7200000000012</v>
      </c>
      <c r="R7">
        <v>300</v>
      </c>
      <c r="T7" s="1"/>
      <c r="W7" s="134"/>
      <c r="Z7">
        <f t="shared" si="2"/>
        <v>62</v>
      </c>
      <c r="AA7" s="2">
        <f t="shared" si="3"/>
        <v>2828</v>
      </c>
      <c r="AB7">
        <f t="shared" si="4"/>
        <v>3397.0120510903221</v>
      </c>
      <c r="AC7">
        <f t="shared" si="5"/>
        <v>178</v>
      </c>
      <c r="AD7" s="2">
        <f t="shared" si="6"/>
        <v>2527.9699999999998</v>
      </c>
      <c r="AE7">
        <f t="shared" si="7"/>
        <v>4279.092885300427</v>
      </c>
      <c r="AF7">
        <f t="shared" si="8"/>
        <v>-43098</v>
      </c>
      <c r="AG7" s="2">
        <f t="shared" si="9"/>
        <v>0</v>
      </c>
      <c r="AH7">
        <f t="shared" si="10"/>
        <v>0</v>
      </c>
      <c r="AI7" s="2">
        <f t="shared" ca="1" si="11"/>
        <v>192</v>
      </c>
      <c r="AJ7">
        <f t="shared" si="12"/>
        <v>9303.9599999999991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4"/>
        <v>2400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K24+M24-F24+Q2*Q4</f>
        <v>-3032.7200000000012</v>
      </c>
      <c r="T8" s="1">
        <v>43121</v>
      </c>
      <c r="U8" t="s">
        <v>901</v>
      </c>
      <c r="W8" s="134"/>
      <c r="Z8">
        <f t="shared" si="2"/>
        <v>62</v>
      </c>
      <c r="AA8" s="2">
        <f t="shared" si="3"/>
        <v>2400</v>
      </c>
      <c r="AB8">
        <f t="shared" si="4"/>
        <v>2882.8956586339368</v>
      </c>
      <c r="AC8">
        <f t="shared" si="5"/>
        <v>-43098</v>
      </c>
      <c r="AD8" s="2">
        <f t="shared" si="6"/>
        <v>0</v>
      </c>
      <c r="AE8">
        <f t="shared" si="7"/>
        <v>0</v>
      </c>
      <c r="AF8">
        <f t="shared" si="8"/>
        <v>-43098</v>
      </c>
      <c r="AG8" s="2">
        <f t="shared" si="9"/>
        <v>0</v>
      </c>
      <c r="AH8">
        <f t="shared" si="10"/>
        <v>0</v>
      </c>
      <c r="AI8" s="2">
        <f t="shared" ca="1" si="11"/>
        <v>192</v>
      </c>
      <c r="AJ8">
        <f t="shared" si="12"/>
        <v>9303.9599999999991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4"/>
        <v>2258</v>
      </c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-0.24582951004646317</v>
      </c>
      <c r="W9" s="134"/>
      <c r="Z9">
        <f t="shared" si="2"/>
        <v>62</v>
      </c>
      <c r="AA9" s="2">
        <f t="shared" si="3"/>
        <v>2258</v>
      </c>
      <c r="AB9">
        <f t="shared" si="4"/>
        <v>2712.3243321647624</v>
      </c>
      <c r="AC9">
        <f t="shared" si="5"/>
        <v>-43098</v>
      </c>
      <c r="AD9" s="2">
        <f t="shared" si="6"/>
        <v>0</v>
      </c>
      <c r="AE9">
        <f t="shared" si="7"/>
        <v>0</v>
      </c>
      <c r="AF9">
        <f t="shared" si="8"/>
        <v>-43098</v>
      </c>
      <c r="AG9" s="2">
        <f t="shared" si="9"/>
        <v>0</v>
      </c>
      <c r="AH9">
        <f t="shared" si="10"/>
        <v>0</v>
      </c>
      <c r="AI9" s="2">
        <f t="shared" ca="1" si="11"/>
        <v>192</v>
      </c>
      <c r="AJ9">
        <f t="shared" si="12"/>
        <v>9303.9599999999991</v>
      </c>
    </row>
    <row r="10" spans="1:41" x14ac:dyDescent="0.25">
      <c r="B10" s="72">
        <v>43178</v>
      </c>
      <c r="C10" s="7">
        <v>100</v>
      </c>
      <c r="D10" s="43">
        <v>23.28</v>
      </c>
      <c r="E10" s="43">
        <v>0</v>
      </c>
      <c r="F10" s="43">
        <f t="shared" si="14"/>
        <v>2328</v>
      </c>
      <c r="H10" s="70"/>
      <c r="O10" s="11" t="s">
        <v>207</v>
      </c>
      <c r="P10" s="33"/>
      <c r="Q10" s="2">
        <f>M72</f>
        <v>0</v>
      </c>
      <c r="T10" s="1">
        <v>43160</v>
      </c>
      <c r="U10" t="s">
        <v>974</v>
      </c>
      <c r="W10" s="134"/>
      <c r="Z10">
        <f t="shared" si="2"/>
        <v>80</v>
      </c>
      <c r="AA10" s="2">
        <f t="shared" si="3"/>
        <v>2328</v>
      </c>
      <c r="AB10">
        <f t="shared" si="4"/>
        <v>2949.2763579708198</v>
      </c>
      <c r="AC10">
        <f t="shared" si="5"/>
        <v>-43098</v>
      </c>
      <c r="AD10" s="2">
        <f t="shared" si="6"/>
        <v>0</v>
      </c>
      <c r="AE10">
        <f t="shared" si="7"/>
        <v>0</v>
      </c>
      <c r="AF10">
        <f t="shared" si="8"/>
        <v>-43098</v>
      </c>
      <c r="AG10" s="2">
        <f t="shared" si="9"/>
        <v>0</v>
      </c>
      <c r="AH10">
        <f t="shared" si="10"/>
        <v>0</v>
      </c>
      <c r="AI10" s="2">
        <f t="shared" ca="1" si="11"/>
        <v>192</v>
      </c>
      <c r="AJ10">
        <f t="shared" si="12"/>
        <v>9303.9599999999991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4"/>
        <v>2143.7000000000003</v>
      </c>
      <c r="H11" s="70"/>
      <c r="O11" s="11" t="s">
        <v>176</v>
      </c>
      <c r="P11" s="33"/>
      <c r="Q11" s="134">
        <f>R11*4/Q4</f>
        <v>4.4712144076285799E-2</v>
      </c>
      <c r="R11">
        <f>0.26</f>
        <v>0.26</v>
      </c>
      <c r="W11" s="134"/>
      <c r="Z11">
        <f t="shared" si="2"/>
        <v>83</v>
      </c>
      <c r="AA11" s="2">
        <f t="shared" si="3"/>
        <v>2143.7000000000003</v>
      </c>
      <c r="AB11">
        <f t="shared" si="4"/>
        <v>2739.9899502560088</v>
      </c>
      <c r="AC11">
        <f t="shared" si="5"/>
        <v>-43098</v>
      </c>
      <c r="AD11" s="2">
        <f t="shared" si="6"/>
        <v>0</v>
      </c>
      <c r="AE11">
        <f t="shared" si="7"/>
        <v>0</v>
      </c>
      <c r="AF11">
        <f t="shared" si="8"/>
        <v>-43098</v>
      </c>
      <c r="AG11" s="2">
        <f t="shared" si="9"/>
        <v>0</v>
      </c>
      <c r="AH11">
        <f t="shared" si="10"/>
        <v>0</v>
      </c>
      <c r="AI11" s="2">
        <f t="shared" ca="1" si="11"/>
        <v>192</v>
      </c>
      <c r="AJ11">
        <f t="shared" si="12"/>
        <v>9303.9599999999991</v>
      </c>
    </row>
    <row r="12" spans="1:41" x14ac:dyDescent="0.25">
      <c r="B12" s="72">
        <v>43182</v>
      </c>
      <c r="C12" s="7">
        <v>100</v>
      </c>
      <c r="D12" s="43">
        <v>22.1</v>
      </c>
      <c r="E12" s="43">
        <v>0</v>
      </c>
      <c r="F12" s="43">
        <f t="shared" si="14"/>
        <v>2210</v>
      </c>
      <c r="H12" s="70"/>
      <c r="O12" s="11" t="s">
        <v>946</v>
      </c>
      <c r="Q12" s="1"/>
      <c r="T12" s="1">
        <v>43223</v>
      </c>
      <c r="U12" t="s">
        <v>1059</v>
      </c>
      <c r="W12" s="134"/>
      <c r="Z12">
        <f t="shared" si="2"/>
        <v>84</v>
      </c>
      <c r="AA12" s="2">
        <f t="shared" si="3"/>
        <v>2210</v>
      </c>
      <c r="AB12">
        <f t="shared" si="4"/>
        <v>2833.0966581975918</v>
      </c>
      <c r="AC12">
        <f t="shared" si="5"/>
        <v>-43098</v>
      </c>
      <c r="AD12" s="2">
        <f t="shared" si="6"/>
        <v>0</v>
      </c>
      <c r="AE12">
        <f t="shared" si="7"/>
        <v>0</v>
      </c>
      <c r="AF12">
        <f t="shared" si="8"/>
        <v>-43098</v>
      </c>
      <c r="AG12" s="2">
        <f t="shared" si="9"/>
        <v>0</v>
      </c>
      <c r="AH12">
        <f t="shared" si="10"/>
        <v>0</v>
      </c>
      <c r="AI12" s="2">
        <f t="shared" ca="1" si="11"/>
        <v>192</v>
      </c>
      <c r="AJ12">
        <f t="shared" si="12"/>
        <v>9303.9599999999991</v>
      </c>
    </row>
    <row r="13" spans="1:41" x14ac:dyDescent="0.25">
      <c r="B13" s="72">
        <v>43220</v>
      </c>
      <c r="C13" s="7">
        <v>100</v>
      </c>
      <c r="D13" s="43">
        <v>23.27</v>
      </c>
      <c r="E13" s="43">
        <v>0</v>
      </c>
      <c r="F13" s="43">
        <f t="shared" si="14"/>
        <v>2327</v>
      </c>
      <c r="H13" s="70"/>
      <c r="O13" s="11" t="s">
        <v>973</v>
      </c>
      <c r="Q13">
        <f>Q4/(1.65+1.75)*2</f>
        <v>13.682294117647059</v>
      </c>
      <c r="U13" t="s">
        <v>1060</v>
      </c>
      <c r="W13" s="134"/>
      <c r="Z13">
        <f t="shared" si="2"/>
        <v>122</v>
      </c>
      <c r="AA13" s="2">
        <f t="shared" si="3"/>
        <v>2327</v>
      </c>
      <c r="AB13">
        <f t="shared" si="4"/>
        <v>3337.8240212501041</v>
      </c>
      <c r="AC13">
        <f t="shared" si="5"/>
        <v>-43098</v>
      </c>
      <c r="AD13" s="2">
        <f t="shared" si="6"/>
        <v>0</v>
      </c>
      <c r="AE13">
        <f t="shared" si="7"/>
        <v>0</v>
      </c>
      <c r="AF13">
        <f t="shared" si="8"/>
        <v>-43098</v>
      </c>
      <c r="AG13" s="2">
        <f t="shared" si="9"/>
        <v>0</v>
      </c>
      <c r="AH13">
        <f t="shared" si="10"/>
        <v>0</v>
      </c>
      <c r="AI13" s="2">
        <f t="shared" ca="1" si="11"/>
        <v>192</v>
      </c>
      <c r="AJ13">
        <f t="shared" si="12"/>
        <v>9303.9599999999991</v>
      </c>
    </row>
    <row r="14" spans="1:41" x14ac:dyDescent="0.25">
      <c r="B14" s="72">
        <v>43228</v>
      </c>
      <c r="C14" s="7">
        <v>100</v>
      </c>
      <c r="D14" s="43">
        <v>22.08</v>
      </c>
      <c r="E14" s="43">
        <v>0</v>
      </c>
      <c r="F14" s="43">
        <f t="shared" si="14"/>
        <v>2208</v>
      </c>
      <c r="G14" s="4"/>
      <c r="H14" s="70"/>
      <c r="O14" s="11" t="s">
        <v>1111</v>
      </c>
      <c r="Q14" s="821">
        <v>-1.08</v>
      </c>
      <c r="U14" t="s">
        <v>1061</v>
      </c>
      <c r="W14" s="134"/>
      <c r="Z14">
        <f t="shared" si="2"/>
        <v>130</v>
      </c>
      <c r="AA14" s="2">
        <f t="shared" si="3"/>
        <v>2208</v>
      </c>
      <c r="AB14">
        <f t="shared" si="4"/>
        <v>3242.9434153422349</v>
      </c>
      <c r="AC14">
        <f t="shared" si="5"/>
        <v>-43098</v>
      </c>
      <c r="AD14" s="2">
        <f t="shared" si="6"/>
        <v>0</v>
      </c>
      <c r="AE14">
        <f t="shared" si="7"/>
        <v>0</v>
      </c>
      <c r="AF14">
        <f t="shared" si="8"/>
        <v>-43098</v>
      </c>
      <c r="AG14" s="2">
        <f t="shared" si="9"/>
        <v>0</v>
      </c>
      <c r="AH14">
        <f t="shared" si="10"/>
        <v>0</v>
      </c>
      <c r="AI14" s="2">
        <f t="shared" ca="1" si="11"/>
        <v>192</v>
      </c>
      <c r="AJ14">
        <f t="shared" si="12"/>
        <v>9303.9599999999991</v>
      </c>
    </row>
    <row r="15" spans="1:41" x14ac:dyDescent="0.25">
      <c r="B15" s="474">
        <v>43276</v>
      </c>
      <c r="C15" s="7">
        <v>100</v>
      </c>
      <c r="D15" s="43">
        <v>23.58</v>
      </c>
      <c r="E15" s="43">
        <v>0</v>
      </c>
      <c r="F15" s="43">
        <f t="shared" si="14"/>
        <v>2358</v>
      </c>
      <c r="H15" s="70"/>
      <c r="O15" s="11" t="s">
        <v>1062</v>
      </c>
      <c r="Q15" s="29">
        <v>43226</v>
      </c>
      <c r="W15" s="134"/>
      <c r="Z15">
        <f t="shared" si="2"/>
        <v>178</v>
      </c>
      <c r="AA15" s="2">
        <f t="shared" si="3"/>
        <v>2358</v>
      </c>
      <c r="AB15">
        <f t="shared" si="4"/>
        <v>3991.3847963141998</v>
      </c>
      <c r="AC15">
        <f t="shared" si="5"/>
        <v>-43098</v>
      </c>
      <c r="AD15" s="2">
        <f t="shared" si="6"/>
        <v>0</v>
      </c>
      <c r="AE15">
        <f t="shared" si="7"/>
        <v>0</v>
      </c>
      <c r="AF15">
        <f t="shared" si="8"/>
        <v>-43098</v>
      </c>
      <c r="AG15" s="2">
        <f t="shared" si="9"/>
        <v>0</v>
      </c>
      <c r="AH15">
        <f t="shared" si="10"/>
        <v>0</v>
      </c>
      <c r="AI15" s="2">
        <f t="shared" ca="1" si="11"/>
        <v>192</v>
      </c>
      <c r="AJ15">
        <f t="shared" si="12"/>
        <v>9303.9599999999991</v>
      </c>
    </row>
    <row r="16" spans="1:41" x14ac:dyDescent="0.25">
      <c r="C16" s="4"/>
      <c r="D16" s="3"/>
      <c r="E16" s="3"/>
      <c r="F16" s="3"/>
      <c r="H16" s="70"/>
      <c r="T16" s="1">
        <v>43228</v>
      </c>
      <c r="U16" t="s">
        <v>1073</v>
      </c>
      <c r="W16" s="134"/>
      <c r="Z16">
        <f>B22-$B$2</f>
        <v>-43098</v>
      </c>
      <c r="AA16" s="2">
        <f>F22</f>
        <v>0</v>
      </c>
      <c r="AB16">
        <f t="shared" si="4"/>
        <v>0</v>
      </c>
      <c r="AC16">
        <f>G22-$B$2</f>
        <v>-43098</v>
      </c>
      <c r="AD16" s="2">
        <f>K22</f>
        <v>0</v>
      </c>
      <c r="AE16">
        <f t="shared" si="7"/>
        <v>0</v>
      </c>
      <c r="AF16">
        <f>L22-$B$2</f>
        <v>-43098</v>
      </c>
      <c r="AG16" s="2">
        <f>M22</f>
        <v>0</v>
      </c>
      <c r="AH16">
        <f t="shared" si="10"/>
        <v>0</v>
      </c>
      <c r="AI16" s="2">
        <f t="shared" ca="1" si="11"/>
        <v>192</v>
      </c>
      <c r="AJ16">
        <f t="shared" si="12"/>
        <v>9303.9599999999991</v>
      </c>
    </row>
    <row r="17" spans="1:39" x14ac:dyDescent="0.25">
      <c r="W17" s="134"/>
      <c r="Z17">
        <f>B23-$B$2</f>
        <v>-43098</v>
      </c>
      <c r="AA17" s="2">
        <f>F23</f>
        <v>0</v>
      </c>
      <c r="AB17">
        <f t="shared" si="4"/>
        <v>0</v>
      </c>
      <c r="AC17">
        <f>G23-$B$2</f>
        <v>-43098</v>
      </c>
      <c r="AD17" s="2">
        <f>K23</f>
        <v>0</v>
      </c>
      <c r="AE17">
        <f t="shared" si="7"/>
        <v>0</v>
      </c>
      <c r="AF17">
        <f>L23-$B$2</f>
        <v>-43098</v>
      </c>
      <c r="AG17" s="2">
        <f>M23</f>
        <v>0</v>
      </c>
      <c r="AH17">
        <f t="shared" si="10"/>
        <v>0</v>
      </c>
      <c r="AI17" s="2">
        <f t="shared" ca="1" si="11"/>
        <v>192</v>
      </c>
      <c r="AJ17">
        <f t="shared" si="12"/>
        <v>9303.9599999999991</v>
      </c>
      <c r="AM17" s="2"/>
    </row>
    <row r="18" spans="1:39" ht="20.25" thickBot="1" x14ac:dyDescent="0.35">
      <c r="C18" s="4"/>
      <c r="D18" s="3"/>
      <c r="E18" s="3"/>
      <c r="F18" s="3"/>
      <c r="H18" s="70"/>
      <c r="O18" s="851" t="s">
        <v>78</v>
      </c>
      <c r="P18" s="851"/>
      <c r="T18" s="1">
        <v>43236</v>
      </c>
      <c r="U18" t="s">
        <v>1087</v>
      </c>
      <c r="W18" s="134"/>
    </row>
    <row r="19" spans="1:39" ht="15.75" thickTop="1" x14ac:dyDescent="0.25">
      <c r="O19" s="81">
        <v>1.1000000000000001</v>
      </c>
      <c r="P19" s="81">
        <f>O19*$Q$4</f>
        <v>25.585889999999999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5">O20*$Q$4</f>
        <v>25.353290999999999</v>
      </c>
      <c r="T20" s="1">
        <v>43244</v>
      </c>
      <c r="U20" t="s">
        <v>1101</v>
      </c>
      <c r="W20" s="134"/>
    </row>
    <row r="21" spans="1:39" x14ac:dyDescent="0.25">
      <c r="O21" s="81">
        <v>1.08</v>
      </c>
      <c r="P21" s="81">
        <f t="shared" si="15"/>
        <v>25.120691999999998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5"/>
        <v>24.888092999999998</v>
      </c>
      <c r="T22" s="156">
        <v>43288</v>
      </c>
      <c r="U22" t="s">
        <v>1195</v>
      </c>
      <c r="W22" s="134"/>
    </row>
    <row r="23" spans="1:39" x14ac:dyDescent="0.25">
      <c r="O23" s="81">
        <v>1.06</v>
      </c>
      <c r="P23" s="81">
        <f t="shared" si="15"/>
        <v>24.655494000000001</v>
      </c>
      <c r="W23" s="134"/>
    </row>
    <row r="24" spans="1:39" x14ac:dyDescent="0.25">
      <c r="A24" s="31" t="s">
        <v>81</v>
      </c>
      <c r="B24" s="14"/>
      <c r="C24" s="14">
        <f>SUM(C2:C22)</f>
        <v>1197</v>
      </c>
      <c r="D24" s="18"/>
      <c r="E24" s="18"/>
      <c r="F24" s="18">
        <f>SUM(F2:F22)</f>
        <v>31875.7</v>
      </c>
      <c r="G24" s="14"/>
      <c r="H24" s="71">
        <f>SUM(H2:H8)</f>
        <v>797</v>
      </c>
      <c r="I24" s="18"/>
      <c r="J24" s="18"/>
      <c r="K24" s="18">
        <f>SUM(K2:K8)</f>
        <v>19383.02</v>
      </c>
      <c r="L24" s="14"/>
      <c r="M24" s="18">
        <f>SUM(M2:M10)</f>
        <v>156</v>
      </c>
      <c r="O24" s="81">
        <v>1.05</v>
      </c>
      <c r="P24" s="81">
        <f t="shared" si="15"/>
        <v>24.422895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797</v>
      </c>
      <c r="D25" s="343"/>
      <c r="E25" s="343"/>
      <c r="F25" s="344">
        <f>SumByColor($A$25,F2:F23)</f>
        <v>18233</v>
      </c>
      <c r="G25" s="343"/>
      <c r="H25" s="343">
        <f>SumByColor($A$25,H2:H23)</f>
        <v>797</v>
      </c>
      <c r="I25" s="343"/>
      <c r="J25" s="343"/>
      <c r="K25" s="344">
        <f>SumByColor($A$25,K2:K23)</f>
        <v>19383</v>
      </c>
      <c r="L25" s="343"/>
      <c r="M25" s="344">
        <f>SumByColor($A$25,M2:M23)</f>
        <v>156</v>
      </c>
      <c r="O25" s="81">
        <v>1.04</v>
      </c>
      <c r="P25" s="81">
        <f t="shared" si="15"/>
        <v>24.190296</v>
      </c>
      <c r="T25" s="156">
        <v>43318</v>
      </c>
      <c r="U25" t="s">
        <v>1201</v>
      </c>
      <c r="W25" s="134"/>
    </row>
    <row r="26" spans="1:39" x14ac:dyDescent="0.25">
      <c r="O26" s="81">
        <v>1.03</v>
      </c>
      <c r="P26" s="81">
        <f t="shared" si="15"/>
        <v>23.957697</v>
      </c>
      <c r="W26" s="134"/>
    </row>
    <row r="27" spans="1:39" x14ac:dyDescent="0.25">
      <c r="O27" s="81">
        <v>1.02</v>
      </c>
      <c r="P27" s="81">
        <f t="shared" si="15"/>
        <v>23.725097999999999</v>
      </c>
      <c r="W27" s="134"/>
    </row>
    <row r="28" spans="1:39" x14ac:dyDescent="0.25">
      <c r="O28" s="81">
        <v>1.01</v>
      </c>
      <c r="P28" s="81">
        <f t="shared" si="15"/>
        <v>23.492498999999999</v>
      </c>
      <c r="W28" s="134"/>
    </row>
    <row r="29" spans="1:39" x14ac:dyDescent="0.25">
      <c r="O29" s="81">
        <v>1</v>
      </c>
      <c r="P29" s="81">
        <f t="shared" si="15"/>
        <v>23.259899999999998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497</v>
      </c>
      <c r="K30" s="220"/>
      <c r="L30" s="220" t="s">
        <v>973</v>
      </c>
      <c r="O30" s="81">
        <v>0.99</v>
      </c>
      <c r="P30" s="81">
        <f t="shared" si="15"/>
        <v>23.027300999999998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 t="shared" ref="F31" si="16">C31*(E31-D31)</f>
        <v>-11.999999999999744</v>
      </c>
      <c r="G31" s="39">
        <f t="shared" ref="G31" si="17">D31*C31</f>
        <v>3625</v>
      </c>
      <c r="H31" s="222">
        <f t="shared" ref="H31" si="18"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5"/>
        <v>22.794701999999997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 t="shared" ref="F32" si="19">C32*(E32-D32)</f>
        <v>142.99999999999997</v>
      </c>
      <c r="G32" s="39">
        <f t="shared" ref="G32" si="20">D32*C32</f>
        <v>3625</v>
      </c>
      <c r="H32" s="222">
        <f t="shared" ref="H32" si="21">(E32-D32)/D32</f>
        <v>3.9448275862068956E-2</v>
      </c>
      <c r="I32" s="39"/>
      <c r="J32" s="39"/>
      <c r="K32" s="39"/>
      <c r="L32" s="39"/>
      <c r="O32" s="81">
        <v>0.97</v>
      </c>
      <c r="P32" s="81">
        <f t="shared" si="15"/>
        <v>22.562102999999997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 t="shared" ref="F33" si="22">C33*(E33-D33)</f>
        <v>60.000000000000142</v>
      </c>
      <c r="G33" s="39">
        <f t="shared" ref="G33" si="23">D33*C33</f>
        <v>3625</v>
      </c>
      <c r="H33" s="222">
        <f t="shared" ref="H33" si="24"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5"/>
        <v>22.329503999999996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25">C34*(E34-D34)</f>
        <v>176.9999999999996</v>
      </c>
      <c r="G34" s="39">
        <f t="shared" ref="G34:G41" si="26">D34*C34</f>
        <v>3599</v>
      </c>
      <c r="H34" s="222">
        <f t="shared" ref="H34:H41" si="27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5"/>
        <v>22.096904999999996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25"/>
        <v>81.000000000000227</v>
      </c>
      <c r="G35" s="39">
        <f t="shared" si="26"/>
        <v>7267</v>
      </c>
      <c r="H35" s="222">
        <f t="shared" si="27"/>
        <v>1.1146277693683806E-2</v>
      </c>
      <c r="I35" s="39"/>
      <c r="J35" s="39"/>
      <c r="K35" s="39"/>
      <c r="L35" s="155"/>
      <c r="O35" s="81">
        <v>0.94</v>
      </c>
      <c r="P35" s="81">
        <f t="shared" si="15"/>
        <v>21.864305999999996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25"/>
        <v>-90.990000000000038</v>
      </c>
      <c r="G36" s="39">
        <f t="shared" si="26"/>
        <v>10788.99</v>
      </c>
      <c r="H36" s="222">
        <f t="shared" si="27"/>
        <v>-8.4335975842039015E-3</v>
      </c>
      <c r="I36" s="39"/>
      <c r="J36" s="39"/>
      <c r="K36" s="39"/>
      <c r="L36" s="155"/>
      <c r="O36" s="81">
        <v>0.93</v>
      </c>
      <c r="P36" s="81">
        <f t="shared" si="15"/>
        <v>21.631706999999999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25"/>
        <v>-489.98999999999955</v>
      </c>
      <c r="G37" s="39">
        <f t="shared" si="26"/>
        <v>10788.99</v>
      </c>
      <c r="H37" s="222">
        <f t="shared" si="27"/>
        <v>-4.5415743271612963E-2</v>
      </c>
      <c r="I37" s="39"/>
      <c r="J37" s="39"/>
      <c r="K37" s="39"/>
      <c r="L37" s="155"/>
      <c r="O37" s="81">
        <v>0.92</v>
      </c>
      <c r="P37" s="81">
        <f t="shared" si="15"/>
        <v>21.399107999999998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25"/>
        <v>-3975.9999999999991</v>
      </c>
      <c r="G38" s="39">
        <f t="shared" si="26"/>
        <v>13616</v>
      </c>
      <c r="H38" s="222">
        <f t="shared" si="27"/>
        <v>-0.29200940070505282</v>
      </c>
      <c r="I38" s="39"/>
      <c r="J38" s="39"/>
      <c r="K38" s="39"/>
      <c r="L38" s="155"/>
      <c r="O38" s="81">
        <v>0.91</v>
      </c>
      <c r="P38" s="81">
        <f t="shared" si="15"/>
        <v>21.166508999999998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25"/>
        <v>-3965</v>
      </c>
      <c r="G39" s="39">
        <f t="shared" si="26"/>
        <v>16015</v>
      </c>
      <c r="H39" s="222">
        <f t="shared" si="27"/>
        <v>-0.2475803933812051</v>
      </c>
      <c r="I39" s="39"/>
      <c r="J39" s="39"/>
      <c r="K39" s="39"/>
      <c r="L39" s="155"/>
      <c r="O39" s="81">
        <v>0.9</v>
      </c>
      <c r="P39" s="81">
        <f t="shared" si="15"/>
        <v>20.933909999999997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25"/>
        <v>-3815.9999999999995</v>
      </c>
      <c r="G40" s="39">
        <f t="shared" si="26"/>
        <v>18276</v>
      </c>
      <c r="H40" s="222">
        <f t="shared" si="27"/>
        <v>-0.20879842416283648</v>
      </c>
      <c r="I40" s="39"/>
      <c r="J40" s="39"/>
      <c r="K40" s="787" t="s">
        <v>943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25"/>
        <v>-3305.1200000000008</v>
      </c>
      <c r="G41" s="39">
        <f t="shared" si="26"/>
        <v>13285.12</v>
      </c>
      <c r="H41" s="222">
        <f t="shared" si="27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46" si="28">C42*(E42-D42)</f>
        <v>-3721.1200000000003</v>
      </c>
      <c r="G42" s="39">
        <f t="shared" ref="G42:G46" si="29">D42*C42</f>
        <v>13285.12</v>
      </c>
      <c r="H42" s="222">
        <f t="shared" ref="H42:H46" si="30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28"/>
        <v>-4027.9999999999986</v>
      </c>
      <c r="G43" s="39">
        <f t="shared" si="29"/>
        <v>15613</v>
      </c>
      <c r="H43" s="222">
        <f t="shared" si="30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28"/>
        <v>-4563.1098000000002</v>
      </c>
      <c r="G44" s="39">
        <f t="shared" si="29"/>
        <v>17756.809799999999</v>
      </c>
      <c r="H44" s="222">
        <f t="shared" si="30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28"/>
        <v>-4648.5000000000018</v>
      </c>
      <c r="G45" s="39">
        <f t="shared" si="29"/>
        <v>17764.5</v>
      </c>
      <c r="H45" s="222">
        <f t="shared" si="30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28"/>
        <v>-4041.4999999999991</v>
      </c>
      <c r="G46" s="39">
        <f t="shared" si="29"/>
        <v>15466.5</v>
      </c>
      <c r="H46" s="222">
        <f t="shared" si="30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ref="F47:F49" si="31">C47*(E47-D47)</f>
        <v>-4301.5000000000009</v>
      </c>
      <c r="G47" s="39">
        <f t="shared" ref="G47:G49" si="32">D47*C47</f>
        <v>15466.5</v>
      </c>
      <c r="H47" s="222">
        <f t="shared" ref="H47:H49" si="33">(E47-D47)/D47</f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31"/>
        <v>-3776.55</v>
      </c>
      <c r="G48" s="39">
        <f t="shared" si="32"/>
        <v>15466.55</v>
      </c>
      <c r="H48" s="222">
        <f t="shared" si="33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31"/>
        <v>-3573.6000000000004</v>
      </c>
      <c r="G49" s="39">
        <f t="shared" si="32"/>
        <v>13077.6</v>
      </c>
      <c r="H49" s="222">
        <f t="shared" si="33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ref="F50:F54" si="34">C50*(E50-D50)</f>
        <v>-3443.5999999999995</v>
      </c>
      <c r="G50" s="39">
        <f t="shared" ref="G50:G54" si="35">D50*C50</f>
        <v>12947.6</v>
      </c>
      <c r="H50" s="222">
        <f t="shared" ref="H50:H54" si="36">(E50-D50)/D50</f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34"/>
        <v>-3635</v>
      </c>
      <c r="G51" s="39">
        <f t="shared" si="35"/>
        <v>15275</v>
      </c>
      <c r="H51" s="222">
        <f t="shared" si="36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34"/>
        <v>-4228.619999999999</v>
      </c>
      <c r="G52" s="39">
        <f t="shared" si="35"/>
        <v>17482.62</v>
      </c>
      <c r="H52" s="222">
        <f t="shared" si="36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34"/>
        <v>-4223.9999999999991</v>
      </c>
      <c r="G53" s="39">
        <f t="shared" si="35"/>
        <v>17484</v>
      </c>
      <c r="H53" s="222">
        <f t="shared" si="36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34"/>
        <v>-4620</v>
      </c>
      <c r="G54" s="39">
        <f t="shared" si="35"/>
        <v>17484</v>
      </c>
      <c r="H54" s="222">
        <f t="shared" si="36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0" si="37">C55*(E55-D55)</f>
        <v>-4008</v>
      </c>
      <c r="G55" s="39">
        <f t="shared" ref="G55:G58" si="38">D55*C55</f>
        <v>17484</v>
      </c>
      <c r="H55" s="222">
        <f t="shared" ref="H55:H58" si="39">(E55-D55)/D55</f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37"/>
        <v>-3190.6400000000003</v>
      </c>
      <c r="G56" s="39">
        <f t="shared" si="38"/>
        <v>12506.64</v>
      </c>
      <c r="H56" s="222">
        <f t="shared" si="39"/>
        <v>-0.25511568254942979</v>
      </c>
      <c r="I56" s="193" t="s">
        <v>1140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37"/>
        <v>-2742.6900000000005</v>
      </c>
      <c r="G57" s="39">
        <f t="shared" si="38"/>
        <v>9978.69</v>
      </c>
      <c r="H57" s="222">
        <f t="shared" si="3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37"/>
        <v>-2836.7999999999993</v>
      </c>
      <c r="G58" s="39">
        <f t="shared" si="38"/>
        <v>12336.8</v>
      </c>
      <c r="H58" s="222">
        <f t="shared" si="39"/>
        <v>-0.22994617729070743</v>
      </c>
      <c r="I58" s="193" t="s">
        <v>774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37"/>
        <v>-3344</v>
      </c>
      <c r="G59" s="39">
        <f t="shared" ref="G59:G60" si="40">D59*C59</f>
        <v>12336</v>
      </c>
      <c r="H59" s="222">
        <f t="shared" ref="H59:H60" si="41">(E59-D59)/D59</f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37"/>
        <v>-3104.0000000000005</v>
      </c>
      <c r="G60" s="39">
        <f t="shared" si="40"/>
        <v>12336</v>
      </c>
      <c r="H60" s="222">
        <f t="shared" si="41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  <c r="W61" s="134"/>
    </row>
    <row r="62" spans="1:23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  <c r="W62" s="134"/>
    </row>
    <row r="63" spans="1:23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  <c r="W63" s="134"/>
    </row>
    <row r="64" spans="1:2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W64" s="134"/>
    </row>
    <row r="65" spans="1:23" x14ac:dyDescent="0.25">
      <c r="A65" s="4"/>
      <c r="B65" s="72"/>
      <c r="C65" s="4"/>
      <c r="D65" s="3"/>
      <c r="E65" s="3"/>
      <c r="F65" s="3"/>
      <c r="G65" s="3"/>
      <c r="H65" s="269"/>
      <c r="I65" s="3"/>
      <c r="J65" s="3"/>
      <c r="K65" s="3"/>
      <c r="L65" s="4"/>
      <c r="W65" s="134"/>
    </row>
    <row r="66" spans="1:23" x14ac:dyDescent="0.25">
      <c r="A66" s="4"/>
      <c r="B66" s="72"/>
      <c r="C66" s="4"/>
      <c r="D66" s="3"/>
      <c r="E66" s="3"/>
      <c r="F66" s="3"/>
      <c r="G66" s="3"/>
      <c r="H66" s="269"/>
      <c r="I66" s="3"/>
      <c r="J66" s="3"/>
      <c r="K66" s="3"/>
      <c r="L66" s="4"/>
      <c r="W66" s="134"/>
    </row>
    <row r="67" spans="1:23" x14ac:dyDescent="0.25">
      <c r="A67" s="4"/>
      <c r="B67" s="72"/>
      <c r="C67" s="4"/>
      <c r="D67" s="3"/>
      <c r="E67" s="3"/>
      <c r="F67" s="3"/>
      <c r="G67" s="3"/>
      <c r="H67" s="269"/>
      <c r="I67" s="3"/>
      <c r="J67" s="3"/>
      <c r="K67" s="3"/>
      <c r="L67" s="4"/>
      <c r="W67" s="134"/>
    </row>
    <row r="68" spans="1:23" x14ac:dyDescent="0.25">
      <c r="A68" s="4"/>
      <c r="B68" s="72"/>
      <c r="C68" s="4"/>
      <c r="D68" s="3"/>
      <c r="E68" s="3"/>
      <c r="F68" s="3"/>
      <c r="G68" s="3"/>
      <c r="H68" s="269"/>
      <c r="I68" s="3"/>
      <c r="J68" s="3"/>
      <c r="K68" s="3"/>
      <c r="L68" s="4"/>
      <c r="W68" s="134"/>
    </row>
    <row r="69" spans="1:23" x14ac:dyDescent="0.25">
      <c r="A69" s="4"/>
      <c r="B69" s="72"/>
      <c r="C69" s="4"/>
      <c r="D69" s="3"/>
      <c r="E69" s="3"/>
      <c r="F69" s="3"/>
      <c r="G69" s="3"/>
      <c r="H69" s="269"/>
      <c r="I69" s="3"/>
      <c r="J69" s="3"/>
      <c r="K69" s="3"/>
      <c r="L69" s="4"/>
      <c r="W69" s="134"/>
    </row>
    <row r="70" spans="1:2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2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2" spans="1:23" x14ac:dyDescent="0.25">
      <c r="A72" s="4"/>
      <c r="B72" s="4"/>
      <c r="C72" s="4"/>
      <c r="D72" s="3"/>
      <c r="E72" s="3"/>
      <c r="F72" s="3"/>
      <c r="G72" s="4"/>
      <c r="H72" s="4"/>
      <c r="I72" s="3"/>
      <c r="J72" s="3"/>
      <c r="K72" s="3"/>
      <c r="L72" s="4" t="s">
        <v>65</v>
      </c>
      <c r="M72" s="2">
        <f>M90+K90-F90</f>
        <v>0</v>
      </c>
    </row>
    <row r="73" spans="1:23" x14ac:dyDescent="0.25">
      <c r="A73" s="510" t="s">
        <v>1</v>
      </c>
      <c r="B73" s="510" t="s">
        <v>2</v>
      </c>
      <c r="C73" s="510" t="s">
        <v>4</v>
      </c>
      <c r="D73" s="511" t="s">
        <v>5</v>
      </c>
      <c r="E73" s="511" t="s">
        <v>94</v>
      </c>
      <c r="F73" s="511" t="s">
        <v>60</v>
      </c>
      <c r="G73" s="510" t="s">
        <v>3</v>
      </c>
      <c r="H73" s="510" t="s">
        <v>6</v>
      </c>
      <c r="I73" s="511" t="s">
        <v>7</v>
      </c>
      <c r="J73" s="511" t="s">
        <v>95</v>
      </c>
      <c r="K73" s="511" t="s">
        <v>61</v>
      </c>
      <c r="L73" s="510" t="s">
        <v>37</v>
      </c>
      <c r="M73" s="510" t="s">
        <v>38</v>
      </c>
    </row>
    <row r="74" spans="1:23" x14ac:dyDescent="0.25">
      <c r="A74" s="512" t="s">
        <v>824</v>
      </c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6"/>
      <c r="M74" s="499"/>
    </row>
    <row r="75" spans="1:23" x14ac:dyDescent="0.25">
      <c r="A75" s="514" t="s">
        <v>71</v>
      </c>
      <c r="B75" s="496"/>
      <c r="C75" s="497"/>
      <c r="D75" s="499"/>
      <c r="E75" s="499"/>
      <c r="F75" s="499"/>
      <c r="G75" s="496"/>
      <c r="H75" s="513"/>
      <c r="I75" s="499"/>
      <c r="J75" s="499"/>
      <c r="K75" s="499"/>
      <c r="L75" s="497"/>
      <c r="M75" s="497"/>
    </row>
    <row r="76" spans="1:23" x14ac:dyDescent="0.25">
      <c r="A76" s="497"/>
      <c r="B76" s="496"/>
      <c r="C76" s="497"/>
      <c r="D76" s="499"/>
      <c r="E76" s="499"/>
      <c r="F76" s="499"/>
      <c r="G76" s="496"/>
      <c r="H76" s="513"/>
      <c r="I76" s="499"/>
      <c r="J76" s="499"/>
      <c r="K76" s="499"/>
      <c r="L76" s="497"/>
      <c r="M76" s="497"/>
    </row>
    <row r="77" spans="1:23" x14ac:dyDescent="0.25">
      <c r="A77" s="497"/>
      <c r="B77" s="496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6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7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497"/>
      <c r="I89" s="499"/>
      <c r="J89" s="499"/>
      <c r="K89" s="499"/>
      <c r="L89" s="497"/>
      <c r="M89" s="497"/>
    </row>
    <row r="90" spans="1:13" x14ac:dyDescent="0.25">
      <c r="A90" s="515" t="s">
        <v>81</v>
      </c>
      <c r="B90" s="516"/>
      <c r="C90" s="516">
        <f>SUM(C74:C78)</f>
        <v>0</v>
      </c>
      <c r="D90" s="517"/>
      <c r="E90" s="517"/>
      <c r="F90" s="517">
        <f>SUM(F74:F78)</f>
        <v>0</v>
      </c>
      <c r="G90" s="516"/>
      <c r="H90" s="538">
        <f>SUM(H74:H77)</f>
        <v>0</v>
      </c>
      <c r="I90" s="517"/>
      <c r="J90" s="517"/>
      <c r="K90" s="517">
        <f>SUM(K74:K77)</f>
        <v>0</v>
      </c>
      <c r="L90" s="516"/>
      <c r="M90" s="517">
        <f>SUM(M74:M82)</f>
        <v>0</v>
      </c>
    </row>
    <row r="91" spans="1:13" ht="15.75" thickBot="1" x14ac:dyDescent="0.3">
      <c r="A91" s="518" t="s">
        <v>193</v>
      </c>
      <c r="B91" s="519"/>
      <c r="C91" s="520">
        <f>SumByColor($A$25,C74:C89)</f>
        <v>0</v>
      </c>
      <c r="D91" s="520"/>
      <c r="E91" s="520"/>
      <c r="F91" s="521">
        <f>SumByColor($A$25,F74:F89)</f>
        <v>0</v>
      </c>
      <c r="G91" s="520"/>
      <c r="H91" s="520">
        <f>SumByColor($A$25,H74:H89)</f>
        <v>0</v>
      </c>
      <c r="I91" s="520"/>
      <c r="J91" s="520"/>
      <c r="K91" s="521">
        <f>SumByColor($A$25,K75:K89)</f>
        <v>0</v>
      </c>
      <c r="L91" s="520"/>
      <c r="M91" s="521">
        <f>SumByColor($A$25,M74:M89)</f>
        <v>0</v>
      </c>
    </row>
    <row r="94" spans="1:13" x14ac:dyDescent="0.25">
      <c r="B94" s="182" t="s">
        <v>113</v>
      </c>
      <c r="C94" s="182" t="s">
        <v>146</v>
      </c>
      <c r="D94" s="183" t="s">
        <v>145</v>
      </c>
      <c r="E94" s="185" t="s">
        <v>147</v>
      </c>
      <c r="F94" s="185" t="s">
        <v>65</v>
      </c>
      <c r="G94" s="220" t="s">
        <v>151</v>
      </c>
      <c r="H94" s="220" t="s">
        <v>88</v>
      </c>
      <c r="I94" s="220" t="s">
        <v>154</v>
      </c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2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2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31:F69 H31:H69">
    <cfRule type="expression" dxfId="886" priority="21">
      <formula>F31&gt;0</formula>
    </cfRule>
    <cfRule type="expression" dxfId="885" priority="22">
      <formula>F31&lt;0</formula>
    </cfRule>
  </conditionalFormatting>
  <conditionalFormatting sqref="Q7">
    <cfRule type="expression" dxfId="884" priority="19">
      <formula>Q7&gt;0</formula>
    </cfRule>
    <cfRule type="expression" dxfId="883" priority="20">
      <formula>Q7&lt;0</formula>
    </cfRule>
  </conditionalFormatting>
  <conditionalFormatting sqref="Q8">
    <cfRule type="expression" dxfId="882" priority="17">
      <formula>Q8&gt;0</formula>
    </cfRule>
    <cfRule type="expression" dxfId="881" priority="18">
      <formula>Q8&lt;0</formula>
    </cfRule>
  </conditionalFormatting>
  <conditionalFormatting sqref="F95:F116">
    <cfRule type="expression" dxfId="880" priority="11">
      <formula>F95&gt;0</formula>
    </cfRule>
    <cfRule type="expression" dxfId="879" priority="12">
      <formula>F95&lt;0</formula>
    </cfRule>
  </conditionalFormatting>
  <conditionalFormatting sqref="H95:H116">
    <cfRule type="expression" dxfId="878" priority="9">
      <formula>H95&gt;0</formula>
    </cfRule>
    <cfRule type="expression" dxfId="877" priority="10">
      <formula>H95&lt;0</formula>
    </cfRule>
  </conditionalFormatting>
  <conditionalFormatting sqref="Q10">
    <cfRule type="expression" dxfId="876" priority="7">
      <formula>Q10&gt;0</formula>
    </cfRule>
    <cfRule type="expression" dxfId="875" priority="8">
      <formula>Q10&lt;0</formula>
    </cfRule>
  </conditionalFormatting>
  <conditionalFormatting sqref="J31:J44">
    <cfRule type="expression" dxfId="874" priority="5">
      <formula>J31&gt;0</formula>
    </cfRule>
    <cfRule type="expression" dxfId="873" priority="6">
      <formula>J31&lt;0</formula>
    </cfRule>
  </conditionalFormatting>
  <conditionalFormatting sqref="K31:K44">
    <cfRule type="expression" dxfId="872" priority="3">
      <formula>K31&gt;0</formula>
    </cfRule>
    <cfRule type="expression" dxfId="871" priority="4">
      <formula>K31&lt;0</formula>
    </cfRule>
  </conditionalFormatting>
  <conditionalFormatting sqref="L31:L44">
    <cfRule type="expression" dxfId="870" priority="1">
      <formula>L31&gt;0</formula>
    </cfRule>
    <cfRule type="expression" dxfId="869" priority="2">
      <formula>L31&lt;0</formula>
    </cfRule>
  </conditionalFormatting>
  <hyperlinks>
    <hyperlink ref="A3" location="ACTIVE!A1" display="Back"/>
    <hyperlink ref="A75" location="ACTIVE!A1" display="Back"/>
  </hyperlinks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240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54.31</v>
      </c>
      <c r="T3" s="1">
        <v>42621</v>
      </c>
      <c r="U3" s="33" t="s">
        <v>256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54.31</v>
      </c>
      <c r="R4" s="475">
        <v>2.0299999999999999E-2</v>
      </c>
      <c r="T4" s="1">
        <v>42627</v>
      </c>
      <c r="U4" s="33" t="s">
        <v>256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323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463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517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208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207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55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55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59.741000000000007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59.197900000000004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58.654800000000009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58.111700000000006</v>
      </c>
      <c r="Q28" s="2"/>
    </row>
    <row r="29" spans="1:32" x14ac:dyDescent="0.25">
      <c r="A29" s="10" t="s">
        <v>709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497</v>
      </c>
      <c r="K29" s="220" t="s">
        <v>465</v>
      </c>
      <c r="L29" s="220" t="s">
        <v>669</v>
      </c>
      <c r="M29" s="4"/>
      <c r="N29" s="4"/>
      <c r="O29" s="81">
        <v>1.06</v>
      </c>
      <c r="P29" s="81">
        <f t="shared" si="0"/>
        <v>57.568600000000004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57.025500000000008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56.482400000000005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55.939300000000003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55.3962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54.853100000000005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54.31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53.7669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53.223800000000004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52.680700000000002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52.137599999999999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51.594499999999996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51.051400000000001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50.508300000000006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49.965200000000003</v>
      </c>
    </row>
    <row r="44" spans="1:32" x14ac:dyDescent="0.25">
      <c r="N44" s="4"/>
      <c r="O44" s="81">
        <v>0.91</v>
      </c>
      <c r="P44" s="81">
        <f t="shared" si="0"/>
        <v>49.4221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48.879000000000005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288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228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261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289</v>
      </c>
      <c r="J168" s="578" t="s">
        <v>287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299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299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299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299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497</v>
      </c>
      <c r="K200" s="220" t="s">
        <v>465</v>
      </c>
      <c r="L200" s="220" t="s">
        <v>669</v>
      </c>
      <c r="M200" s="4"/>
    </row>
    <row r="201" spans="1:17" x14ac:dyDescent="0.25">
      <c r="A201" s="362" t="s">
        <v>343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350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351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352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373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388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413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418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431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431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449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322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4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5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4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5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4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5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4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5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4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5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4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5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4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5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4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5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4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5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4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5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4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5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4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5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4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5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4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5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4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5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4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5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4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5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4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5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4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5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4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5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4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5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4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5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4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5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4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5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4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5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4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5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4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5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4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5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4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5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4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5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4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5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4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5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4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5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4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5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4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5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4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5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4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5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4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5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4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5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4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5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4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5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4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5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4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5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4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5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4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5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4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5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4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5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4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5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4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5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4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5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4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5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4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4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4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4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6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4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6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4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6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4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6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4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6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6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6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6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6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6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6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6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6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6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6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6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6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6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6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6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6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6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6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6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6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6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6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6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6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6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6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6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6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6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6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200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6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6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6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6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6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6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6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6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6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6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6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6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6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6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6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6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6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6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6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7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6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7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6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7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6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7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6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7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6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7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6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7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6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6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6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6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8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9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8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9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8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9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8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9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8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9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8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9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8"/>
        <v>7224.84</v>
      </c>
      <c r="L385" s="250"/>
      <c r="M385" s="671" t="s">
        <v>254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9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8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9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8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9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8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9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8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9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8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9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8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9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8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9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8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9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8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9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8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9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8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9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8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9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8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9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8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9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8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9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8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9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8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9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8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9"/>
        <v>0</v>
      </c>
      <c r="G404" s="668" t="s">
        <v>310</v>
      </c>
      <c r="H404" s="250">
        <v>100</v>
      </c>
      <c r="I404" s="251">
        <v>19.68</v>
      </c>
      <c r="J404" s="251">
        <v>0.04</v>
      </c>
      <c r="K404" s="251">
        <f t="shared" si="28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9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8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9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8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9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8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8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8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8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8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30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30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30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30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68" priority="137">
      <formula>F30&gt;0</formula>
    </cfRule>
    <cfRule type="expression" dxfId="867" priority="138">
      <formula>F30&lt;0</formula>
    </cfRule>
  </conditionalFormatting>
  <conditionalFormatting sqref="H47:H58">
    <cfRule type="expression" dxfId="866" priority="129">
      <formula>H47&gt;0</formula>
    </cfRule>
    <cfRule type="expression" dxfId="865" priority="130">
      <formula>H47&lt;0</formula>
    </cfRule>
  </conditionalFormatting>
  <conditionalFormatting sqref="H59">
    <cfRule type="expression" dxfId="864" priority="119">
      <formula>H59&gt;0</formula>
    </cfRule>
    <cfRule type="expression" dxfId="863" priority="120">
      <formula>H59&lt;0</formula>
    </cfRule>
  </conditionalFormatting>
  <conditionalFormatting sqref="H60">
    <cfRule type="expression" dxfId="862" priority="115">
      <formula>H60&gt;0</formula>
    </cfRule>
    <cfRule type="expression" dxfId="861" priority="116">
      <formula>H60&lt;0</formula>
    </cfRule>
  </conditionalFormatting>
  <conditionalFormatting sqref="H61:H66">
    <cfRule type="expression" dxfId="860" priority="111">
      <formula>H61&gt;0</formula>
    </cfRule>
    <cfRule type="expression" dxfId="859" priority="112">
      <formula>H61&lt;0</formula>
    </cfRule>
  </conditionalFormatting>
  <conditionalFormatting sqref="Q8">
    <cfRule type="expression" dxfId="858" priority="95">
      <formula>Q8&gt;0</formula>
    </cfRule>
    <cfRule type="expression" dxfId="857" priority="96">
      <formula>Q8&lt;0</formula>
    </cfRule>
  </conditionalFormatting>
  <conditionalFormatting sqref="Q7">
    <cfRule type="expression" dxfId="856" priority="97">
      <formula>Q7&gt;0</formula>
    </cfRule>
    <cfRule type="expression" dxfId="855" priority="98">
      <formula>Q7&lt;0</formula>
    </cfRule>
  </conditionalFormatting>
  <conditionalFormatting sqref="F178 H178">
    <cfRule type="expression" dxfId="854" priority="93">
      <formula>F178&gt;0</formula>
    </cfRule>
    <cfRule type="expression" dxfId="853" priority="94">
      <formula>F178&lt;0</formula>
    </cfRule>
  </conditionalFormatting>
  <conditionalFormatting sqref="Q10">
    <cfRule type="expression" dxfId="852" priority="87">
      <formula>Q10&gt;0</formula>
    </cfRule>
    <cfRule type="expression" dxfId="851" priority="88">
      <formula>Q10&lt;0</formula>
    </cfRule>
  </conditionalFormatting>
  <conditionalFormatting sqref="Q9">
    <cfRule type="expression" dxfId="850" priority="81">
      <formula>Q9&gt;0</formula>
    </cfRule>
    <cfRule type="expression" dxfId="849" priority="82">
      <formula>Q9&lt;0</formula>
    </cfRule>
  </conditionalFormatting>
  <conditionalFormatting sqref="F201:F248">
    <cfRule type="expression" dxfId="848" priority="41">
      <formula>F201&gt;0</formula>
    </cfRule>
    <cfRule type="expression" dxfId="847" priority="42">
      <formula>F201&lt;0</formula>
    </cfRule>
  </conditionalFormatting>
  <conditionalFormatting sqref="H201:H248">
    <cfRule type="expression" dxfId="846" priority="39">
      <formula>H201&gt;0</formula>
    </cfRule>
    <cfRule type="expression" dxfId="845" priority="40">
      <formula>H201&lt;0</formula>
    </cfRule>
  </conditionalFormatting>
  <conditionalFormatting sqref="J208">
    <cfRule type="expression" dxfId="844" priority="37">
      <formula>J208&gt;0</formula>
    </cfRule>
    <cfRule type="expression" dxfId="843" priority="38">
      <formula>J208&lt;0</formula>
    </cfRule>
  </conditionalFormatting>
  <conditionalFormatting sqref="J214:J215">
    <cfRule type="expression" dxfId="842" priority="35">
      <formula>J214&gt;0</formula>
    </cfRule>
    <cfRule type="expression" dxfId="841" priority="36">
      <formula>J214&lt;0</formula>
    </cfRule>
  </conditionalFormatting>
  <conditionalFormatting sqref="J216">
    <cfRule type="expression" dxfId="840" priority="33">
      <formula>J216&gt;0</formula>
    </cfRule>
    <cfRule type="expression" dxfId="839" priority="34">
      <formula>J216&lt;0</formula>
    </cfRule>
  </conditionalFormatting>
  <conditionalFormatting sqref="J217:J219 J221:J224">
    <cfRule type="expression" dxfId="838" priority="31">
      <formula>J217&gt;0</formula>
    </cfRule>
    <cfRule type="expression" dxfId="837" priority="32">
      <formula>J217&lt;0</formula>
    </cfRule>
  </conditionalFormatting>
  <conditionalFormatting sqref="K208">
    <cfRule type="expression" dxfId="836" priority="29">
      <formula>K208&gt;0</formula>
    </cfRule>
    <cfRule type="expression" dxfId="835" priority="30">
      <formula>K208&lt;0</formula>
    </cfRule>
  </conditionalFormatting>
  <conditionalFormatting sqref="K214:K215">
    <cfRule type="expression" dxfId="834" priority="27">
      <formula>K214&gt;0</formula>
    </cfRule>
    <cfRule type="expression" dxfId="833" priority="28">
      <formula>K214&lt;0</formula>
    </cfRule>
  </conditionalFormatting>
  <conditionalFormatting sqref="K216">
    <cfRule type="expression" dxfId="832" priority="25">
      <formula>K216&gt;0</formula>
    </cfRule>
    <cfRule type="expression" dxfId="831" priority="26">
      <formula>K216&lt;0</formula>
    </cfRule>
  </conditionalFormatting>
  <conditionalFormatting sqref="K217:K224">
    <cfRule type="expression" dxfId="830" priority="23">
      <formula>K217&gt;0</formula>
    </cfRule>
    <cfRule type="expression" dxfId="829" priority="24">
      <formula>K217&lt;0</formula>
    </cfRule>
  </conditionalFormatting>
  <conditionalFormatting sqref="L208">
    <cfRule type="expression" dxfId="828" priority="21">
      <formula>L208&gt;0</formula>
    </cfRule>
    <cfRule type="expression" dxfId="827" priority="22">
      <formula>L208&lt;0</formula>
    </cfRule>
  </conditionalFormatting>
  <conditionalFormatting sqref="L214:L215">
    <cfRule type="expression" dxfId="826" priority="19">
      <formula>L214&gt;0</formula>
    </cfRule>
    <cfRule type="expression" dxfId="825" priority="20">
      <formula>L214&lt;0</formula>
    </cfRule>
  </conditionalFormatting>
  <conditionalFormatting sqref="L216">
    <cfRule type="expression" dxfId="824" priority="17">
      <formula>L216&gt;0</formula>
    </cfRule>
    <cfRule type="expression" dxfId="823" priority="18">
      <formula>L216&lt;0</formula>
    </cfRule>
  </conditionalFormatting>
  <conditionalFormatting sqref="L217:L224">
    <cfRule type="expression" dxfId="822" priority="15">
      <formula>L217&gt;0</formula>
    </cfRule>
    <cfRule type="expression" dxfId="821" priority="16">
      <formula>L217&lt;0</formula>
    </cfRule>
  </conditionalFormatting>
  <conditionalFormatting sqref="K225">
    <cfRule type="expression" dxfId="820" priority="13">
      <formula>K225&gt;0</formula>
    </cfRule>
    <cfRule type="expression" dxfId="819" priority="14">
      <formula>K225&lt;0</formula>
    </cfRule>
  </conditionalFormatting>
  <conditionalFormatting sqref="L225:L232">
    <cfRule type="expression" dxfId="818" priority="11">
      <formula>L225&gt;0</formula>
    </cfRule>
    <cfRule type="expression" dxfId="817" priority="12">
      <formula>L225&lt;0</formula>
    </cfRule>
  </conditionalFormatting>
  <conditionalFormatting sqref="K226">
    <cfRule type="expression" dxfId="816" priority="9">
      <formula>K226&gt;0</formula>
    </cfRule>
    <cfRule type="expression" dxfId="815" priority="10">
      <formula>K226&lt;0</formula>
    </cfRule>
  </conditionalFormatting>
  <conditionalFormatting sqref="K227">
    <cfRule type="expression" dxfId="814" priority="7">
      <formula>K227&gt;0</formula>
    </cfRule>
    <cfRule type="expression" dxfId="813" priority="8">
      <formula>K227&lt;0</formula>
    </cfRule>
  </conditionalFormatting>
  <conditionalFormatting sqref="K228:K248">
    <cfRule type="expression" dxfId="812" priority="5">
      <formula>K228&gt;0</formula>
    </cfRule>
    <cfRule type="expression" dxfId="811" priority="6">
      <formula>K228&lt;0</formula>
    </cfRule>
  </conditionalFormatting>
  <conditionalFormatting sqref="L233:L237">
    <cfRule type="expression" dxfId="810" priority="3">
      <formula>L233&gt;0</formula>
    </cfRule>
    <cfRule type="expression" dxfId="809" priority="4">
      <formula>L233&lt;0</formula>
    </cfRule>
  </conditionalFormatting>
  <conditionalFormatting sqref="L238:L243">
    <cfRule type="expression" dxfId="808" priority="1">
      <formula>L238&gt;0</formula>
    </cfRule>
    <cfRule type="expression" dxfId="807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53.05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53.05</v>
      </c>
      <c r="R4" s="490">
        <v>1.34E-2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208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207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207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304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51" t="s">
        <v>78</v>
      </c>
      <c r="P40" s="851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58.355000000000004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57.8245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57.294000000000004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56.763500000000001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56.232999999999997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55.702500000000001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55.171999999999997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54.641500000000001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54.110999999999997</v>
      </c>
      <c r="Q49" s="2"/>
      <c r="T49" s="85" t="s">
        <v>103</v>
      </c>
      <c r="U49" s="87" t="s">
        <v>391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53.580500000000001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53.05</v>
      </c>
      <c r="Q51" s="2"/>
      <c r="T51" s="85" t="s">
        <v>104</v>
      </c>
      <c r="U51" s="86" t="s">
        <v>601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52.519499999999994</v>
      </c>
      <c r="Q52" s="2"/>
      <c r="T52" s="85" t="s">
        <v>105</v>
      </c>
      <c r="U52" s="86" t="s">
        <v>499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51.988999999999997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51.458499999999994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50.927999999999997</v>
      </c>
      <c r="T55" s="85" t="s">
        <v>107</v>
      </c>
      <c r="U55" s="86" t="s">
        <v>602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50.397499999999994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49.866999999999997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49.336500000000001</v>
      </c>
      <c r="T58" s="85" t="s">
        <v>108</v>
      </c>
      <c r="U58" s="86" t="s">
        <v>540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48.805999999999997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48.275500000000001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47.744999999999997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06" priority="11">
      <formula>F27&gt;0</formula>
    </cfRule>
    <cfRule type="expression" dxfId="805" priority="12">
      <formula>F27&lt;0</formula>
    </cfRule>
  </conditionalFormatting>
  <conditionalFormatting sqref="H27:H29">
    <cfRule type="expression" dxfId="804" priority="9">
      <formula>H27&gt;0</formula>
    </cfRule>
    <cfRule type="expression" dxfId="803" priority="10">
      <formula>H27&lt;0</formula>
    </cfRule>
  </conditionalFormatting>
  <conditionalFormatting sqref="F23:F26">
    <cfRule type="expression" dxfId="802" priority="7">
      <formula>F23&gt;0</formula>
    </cfRule>
    <cfRule type="expression" dxfId="801" priority="8">
      <formula>F23&lt;0</formula>
    </cfRule>
  </conditionalFormatting>
  <conditionalFormatting sqref="H23:H26">
    <cfRule type="expression" dxfId="800" priority="5">
      <formula>H23&gt;0</formula>
    </cfRule>
    <cfRule type="expression" dxfId="799" priority="6">
      <formula>H23&lt;0</formula>
    </cfRule>
  </conditionalFormatting>
  <conditionalFormatting sqref="Q8">
    <cfRule type="expression" dxfId="798" priority="1">
      <formula>Q8&gt;0</formula>
    </cfRule>
    <cfRule type="expression" dxfId="797" priority="2">
      <formula>Q8&lt;0</formula>
    </cfRule>
  </conditionalFormatting>
  <conditionalFormatting sqref="Q7">
    <cfRule type="expression" dxfId="796" priority="3">
      <formula>Q7&gt;0</formula>
    </cfRule>
    <cfRule type="expression" dxfId="795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51.86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51.86</v>
      </c>
      <c r="R4" s="490">
        <v>9.4999999999999998E-3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208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207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207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51" t="s">
        <v>78</v>
      </c>
      <c r="P40" s="851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57.046000000000006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56.5274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56.008800000000001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55.490200000000002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54.971600000000002</v>
      </c>
      <c r="Q45" s="2"/>
      <c r="T45" s="85" t="s">
        <v>99</v>
      </c>
      <c r="U45" s="86" t="s">
        <v>603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54.453000000000003</v>
      </c>
      <c r="Q46" s="2"/>
      <c r="T46" s="85" t="s">
        <v>100</v>
      </c>
      <c r="U46" s="86" t="s">
        <v>604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53.934400000000004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53.415799999999997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52.897199999999998</v>
      </c>
      <c r="Q49" s="2"/>
      <c r="T49" s="85" t="s">
        <v>103</v>
      </c>
      <c r="U49" s="87" t="s">
        <v>423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52.378599999999999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51.86</v>
      </c>
      <c r="Q51" s="2"/>
      <c r="T51" s="85" t="s">
        <v>104</v>
      </c>
      <c r="U51" s="86" t="s">
        <v>605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51.3414</v>
      </c>
      <c r="Q52" s="2"/>
      <c r="T52" s="85" t="s">
        <v>105</v>
      </c>
      <c r="U52" s="86" t="s">
        <v>507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50.822800000000001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50.304200000000002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49.785599999999995</v>
      </c>
      <c r="T55" s="85" t="s">
        <v>107</v>
      </c>
      <c r="U55" s="86" t="s">
        <v>606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49.266999999999996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48.748399999999997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48.229800000000004</v>
      </c>
      <c r="T58" s="85" t="s">
        <v>108</v>
      </c>
      <c r="U58" s="86" t="s">
        <v>541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47.711199999999998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47.192599999999999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46.673999999999999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94" priority="7">
      <formula>F21&gt;0</formula>
    </cfRule>
    <cfRule type="expression" dxfId="793" priority="8">
      <formula>F21&lt;0</formula>
    </cfRule>
  </conditionalFormatting>
  <conditionalFormatting sqref="F22">
    <cfRule type="expression" dxfId="792" priority="5">
      <formula>F22&gt;0</formula>
    </cfRule>
    <cfRule type="expression" dxfId="791" priority="6">
      <formula>F22&lt;0</formula>
    </cfRule>
  </conditionalFormatting>
  <conditionalFormatting sqref="Q8">
    <cfRule type="expression" dxfId="790" priority="1">
      <formula>Q8&gt;0</formula>
    </cfRule>
    <cfRule type="expression" dxfId="789" priority="2">
      <formula>Q8&lt;0</formula>
    </cfRule>
  </conditionalFormatting>
  <conditionalFormatting sqref="Q7">
    <cfRule type="expression" dxfId="788" priority="3">
      <formula>Q7&gt;0</formula>
    </cfRule>
    <cfRule type="expression" dxfId="787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69.209999999999994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69.209999999999994</v>
      </c>
      <c r="R4" s="475">
        <v>2.46E-2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208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207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51" t="s">
        <v>78</v>
      </c>
      <c r="P44" s="851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76.131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75.438900000000004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74.746799999999993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74.054699999999997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73.3626</v>
      </c>
      <c r="Q49" s="2"/>
      <c r="R49" s="33"/>
      <c r="T49" s="106" t="s">
        <v>121</v>
      </c>
      <c r="U49" s="104" t="s">
        <v>371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72.67049999999999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71.978399999999993</v>
      </c>
      <c r="Q51" s="2"/>
      <c r="R51" s="33"/>
      <c r="T51" s="106" t="s">
        <v>104</v>
      </c>
      <c r="U51" s="104" t="s">
        <v>607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71.286299999999997</v>
      </c>
      <c r="Q52" s="2"/>
      <c r="R52" s="33"/>
      <c r="T52" s="106" t="s">
        <v>105</v>
      </c>
      <c r="U52" s="104" t="s">
        <v>523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70.594200000000001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69.90209999999999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69.209999999999994</v>
      </c>
      <c r="Q55" s="2"/>
      <c r="R55" s="33"/>
      <c r="T55" s="106" t="s">
        <v>107</v>
      </c>
      <c r="U55" s="104" t="s">
        <v>608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68.517899999999997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67.825799999999987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67.13369999999999</v>
      </c>
      <c r="Q58" s="2"/>
      <c r="R58" s="33"/>
      <c r="T58" s="106" t="s">
        <v>108</v>
      </c>
      <c r="U58" s="104" t="s">
        <v>542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66.441599999999994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65.749499999999998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65.057399999999987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64.365299999999991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63.673199999999994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62.981099999999998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62.288999999999994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207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86" priority="17">
      <formula>F38&gt;0</formula>
    </cfRule>
    <cfRule type="expression" dxfId="785" priority="18">
      <formula>F38&lt;0</formula>
    </cfRule>
  </conditionalFormatting>
  <conditionalFormatting sqref="H38:H72">
    <cfRule type="expression" dxfId="784" priority="9">
      <formula>H38&gt;0</formula>
    </cfRule>
    <cfRule type="expression" dxfId="783" priority="10">
      <formula>H38&lt;0</formula>
    </cfRule>
  </conditionalFormatting>
  <conditionalFormatting sqref="F21:F37">
    <cfRule type="expression" dxfId="782" priority="7">
      <formula>F21&gt;0</formula>
    </cfRule>
    <cfRule type="expression" dxfId="781" priority="8">
      <formula>F21&lt;0</formula>
    </cfRule>
  </conditionalFormatting>
  <conditionalFormatting sqref="H21:H37">
    <cfRule type="expression" dxfId="780" priority="5">
      <formula>H21&gt;0</formula>
    </cfRule>
    <cfRule type="expression" dxfId="779" priority="6">
      <formula>H21&lt;0</formula>
    </cfRule>
  </conditionalFormatting>
  <conditionalFormatting sqref="Q8">
    <cfRule type="expression" dxfId="778" priority="1">
      <formula>Q8&gt;0</formula>
    </cfRule>
    <cfRule type="expression" dxfId="777" priority="2">
      <formula>Q8&lt;0</formula>
    </cfRule>
  </conditionalFormatting>
  <conditionalFormatting sqref="Q7">
    <cfRule type="expression" dxfId="776" priority="3">
      <formula>Q7&gt;0</formula>
    </cfRule>
    <cfRule type="expression" dxfId="775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145.05000000000001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145.05000000000001</v>
      </c>
      <c r="R4" s="490">
        <v>1.3899999999999999E-2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208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207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207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51" t="s">
        <v>78</v>
      </c>
      <c r="P46" s="851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159.55500000000004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158.10450000000003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156.65400000000002</v>
      </c>
      <c r="Q49" s="33"/>
      <c r="R49"/>
      <c r="T49" s="85" t="s">
        <v>103</v>
      </c>
      <c r="U49" s="92" t="s">
        <v>609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155.20350000000002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153.75300000000001</v>
      </c>
      <c r="Q51" s="81"/>
      <c r="R51"/>
      <c r="T51" s="85" t="s">
        <v>104</v>
      </c>
      <c r="U51" s="127" t="s">
        <v>610</v>
      </c>
    </row>
    <row r="52" spans="1:21" x14ac:dyDescent="0.25">
      <c r="O52" s="81">
        <v>1.05</v>
      </c>
      <c r="P52" s="81">
        <f t="shared" si="1"/>
        <v>152.30250000000001</v>
      </c>
      <c r="Q52" s="81"/>
      <c r="R52"/>
      <c r="T52" s="85" t="s">
        <v>105</v>
      </c>
      <c r="U52" s="127" t="s">
        <v>501</v>
      </c>
    </row>
    <row r="53" spans="1:21" x14ac:dyDescent="0.25">
      <c r="O53" s="81">
        <v>1.04</v>
      </c>
      <c r="P53" s="81">
        <f t="shared" si="1"/>
        <v>150.852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149.40150000000003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147.95100000000002</v>
      </c>
      <c r="Q55" s="81"/>
      <c r="R55"/>
      <c r="T55" s="85" t="s">
        <v>107</v>
      </c>
      <c r="U55" s="127" t="s">
        <v>611</v>
      </c>
    </row>
    <row r="56" spans="1:21" x14ac:dyDescent="0.25">
      <c r="O56" s="81">
        <v>1.01</v>
      </c>
      <c r="P56" s="81">
        <f t="shared" si="1"/>
        <v>146.50050000000002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145.05000000000001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143.59950000000001</v>
      </c>
      <c r="Q58" s="81"/>
      <c r="R58"/>
      <c r="T58" s="85" t="s">
        <v>108</v>
      </c>
      <c r="U58" s="127" t="s">
        <v>543</v>
      </c>
    </row>
    <row r="59" spans="1:21" x14ac:dyDescent="0.25">
      <c r="O59" s="81">
        <v>0.98</v>
      </c>
      <c r="P59" s="81">
        <f t="shared" si="1"/>
        <v>142.149</v>
      </c>
      <c r="Q59" s="81"/>
      <c r="R59"/>
    </row>
    <row r="60" spans="1:21" x14ac:dyDescent="0.25">
      <c r="O60" s="81">
        <v>0.97</v>
      </c>
      <c r="P60" s="81">
        <f t="shared" si="1"/>
        <v>140.6985</v>
      </c>
      <c r="Q60" s="81"/>
      <c r="R60"/>
    </row>
    <row r="61" spans="1:21" x14ac:dyDescent="0.25">
      <c r="O61" s="81">
        <v>0.96</v>
      </c>
      <c r="P61" s="81">
        <f t="shared" si="1"/>
        <v>139.24800000000002</v>
      </c>
      <c r="Q61" s="81"/>
      <c r="R61"/>
    </row>
    <row r="62" spans="1:21" x14ac:dyDescent="0.25">
      <c r="O62" s="81">
        <v>0.95</v>
      </c>
      <c r="P62" s="81">
        <f t="shared" si="1"/>
        <v>137.79750000000001</v>
      </c>
      <c r="Q62" s="81"/>
      <c r="R62"/>
    </row>
    <row r="63" spans="1:21" x14ac:dyDescent="0.25">
      <c r="O63" s="81">
        <v>0.94</v>
      </c>
      <c r="P63" s="81">
        <f t="shared" si="1"/>
        <v>136.34700000000001</v>
      </c>
      <c r="Q63" s="81"/>
      <c r="R63"/>
      <c r="T63" s="84"/>
    </row>
    <row r="64" spans="1:21" x14ac:dyDescent="0.25">
      <c r="O64" s="81">
        <v>0.93</v>
      </c>
      <c r="P64" s="81">
        <f t="shared" si="1"/>
        <v>134.89650000000003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133.44600000000003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131.99550000000002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130.54500000000002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74" priority="11">
      <formula>F24&gt;0</formula>
    </cfRule>
    <cfRule type="expression" dxfId="773" priority="12">
      <formula>F24&lt;0</formula>
    </cfRule>
  </conditionalFormatting>
  <conditionalFormatting sqref="H27:H30">
    <cfRule type="expression" dxfId="772" priority="9">
      <formula>H27&gt;0</formula>
    </cfRule>
    <cfRule type="expression" dxfId="771" priority="10">
      <formula>H27&lt;0</formula>
    </cfRule>
  </conditionalFormatting>
  <conditionalFormatting sqref="F25">
    <cfRule type="expression" dxfId="770" priority="7">
      <formula>F25&gt;0</formula>
    </cfRule>
    <cfRule type="expression" dxfId="769" priority="8">
      <formula>F25&lt;0</formula>
    </cfRule>
  </conditionalFormatting>
  <conditionalFormatting sqref="H24:H26">
    <cfRule type="expression" dxfId="768" priority="5">
      <formula>H24&gt;0</formula>
    </cfRule>
    <cfRule type="expression" dxfId="767" priority="6">
      <formula>H24&lt;0</formula>
    </cfRule>
  </conditionalFormatting>
  <conditionalFormatting sqref="Q7">
    <cfRule type="expression" dxfId="766" priority="3">
      <formula>Q7&gt;0</formula>
    </cfRule>
    <cfRule type="expression" dxfId="765" priority="4">
      <formula>Q7&lt;0</formula>
    </cfRule>
  </conditionalFormatting>
  <conditionalFormatting sqref="Q8">
    <cfRule type="expression" dxfId="764" priority="1">
      <formula>Q8&gt;0</formula>
    </cfRule>
    <cfRule type="expression" dxfId="763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267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47.77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47.77</v>
      </c>
      <c r="R4" s="491">
        <v>1.5299999999999999E-2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208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207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207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267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51" t="s">
        <v>78</v>
      </c>
      <c r="Q39" s="851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52.547000000000004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52.069300000000005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51.591600000000007</v>
      </c>
      <c r="R42" s="33"/>
      <c r="T42" s="85" t="s">
        <v>99</v>
      </c>
      <c r="U42" s="127" t="s">
        <v>612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51.113900000000008</v>
      </c>
      <c r="R43" s="81"/>
      <c r="T43" s="85" t="s">
        <v>100</v>
      </c>
      <c r="U43" s="127" t="s">
        <v>613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50.636200000000002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50.158500000000004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49.680800000000005</v>
      </c>
      <c r="R46" s="81"/>
      <c r="T46" s="85" t="s">
        <v>121</v>
      </c>
      <c r="U46" s="223" t="s">
        <v>420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49.203100000000006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48.7254</v>
      </c>
      <c r="R48" s="81"/>
      <c r="T48" s="85" t="s">
        <v>104</v>
      </c>
      <c r="U48" s="127" t="s">
        <v>614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48.247700000000002</v>
      </c>
      <c r="R49" s="81"/>
      <c r="T49" s="85" t="s">
        <v>105</v>
      </c>
      <c r="U49" s="127" t="s">
        <v>544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47.77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47.292300000000004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46.814600000000006</v>
      </c>
      <c r="R52" s="81"/>
      <c r="T52" s="85" t="s">
        <v>107</v>
      </c>
      <c r="U52" s="127" t="s">
        <v>615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46.3369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45.859200000000001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45.381500000000003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44.903800000000004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44.426100000000005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43.948400000000007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43.470700000000001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42.993000000000002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62" priority="17">
      <formula>F28&gt;0</formula>
    </cfRule>
    <cfRule type="expression" dxfId="761" priority="18">
      <formula>F28&lt;0</formula>
    </cfRule>
  </conditionalFormatting>
  <conditionalFormatting sqref="F28 F33:F35">
    <cfRule type="expression" dxfId="760" priority="19">
      <formula>F28&gt;0</formula>
    </cfRule>
    <cfRule type="expression" dxfId="759" priority="20">
      <formula>F28&lt;0</formula>
    </cfRule>
  </conditionalFormatting>
  <conditionalFormatting sqref="H28 H33:H35">
    <cfRule type="expression" dxfId="758" priority="15">
      <formula>H28&gt;0</formula>
    </cfRule>
    <cfRule type="expression" dxfId="757" priority="16">
      <formula>H28&lt;0</formula>
    </cfRule>
  </conditionalFormatting>
  <conditionalFormatting sqref="F21:F27">
    <cfRule type="expression" dxfId="756" priority="13">
      <formula>F21&gt;0</formula>
    </cfRule>
    <cfRule type="expression" dxfId="755" priority="14">
      <formula>F21&lt;0</formula>
    </cfRule>
  </conditionalFormatting>
  <conditionalFormatting sqref="H21:H27">
    <cfRule type="expression" dxfId="754" priority="11">
      <formula>H21&gt;0</formula>
    </cfRule>
    <cfRule type="expression" dxfId="753" priority="12">
      <formula>H21&lt;0</formula>
    </cfRule>
  </conditionalFormatting>
  <conditionalFormatting sqref="Q8">
    <cfRule type="expression" dxfId="752" priority="7">
      <formula>Q8&gt;0</formula>
    </cfRule>
    <cfRule type="expression" dxfId="751" priority="8">
      <formula>Q8&lt;0</formula>
    </cfRule>
  </conditionalFormatting>
  <conditionalFormatting sqref="Q7">
    <cfRule type="expression" dxfId="750" priority="9">
      <formula>Q7&gt;0</formula>
    </cfRule>
    <cfRule type="expression" dxfId="749" priority="10">
      <formula>Q7&lt;0</formula>
    </cfRule>
  </conditionalFormatting>
  <conditionalFormatting sqref="F29:F32">
    <cfRule type="expression" dxfId="748" priority="5">
      <formula>F29&gt;0</formula>
    </cfRule>
    <cfRule type="expression" dxfId="747" priority="6">
      <formula>F29&lt;0</formula>
    </cfRule>
  </conditionalFormatting>
  <conditionalFormatting sqref="H29:H32">
    <cfRule type="expression" dxfId="746" priority="3">
      <formula>H29&gt;0</formula>
    </cfRule>
    <cfRule type="expression" dxfId="745" priority="4">
      <formula>H29&lt;0</formula>
    </cfRule>
  </conditionalFormatting>
  <conditionalFormatting sqref="M37">
    <cfRule type="expression" dxfId="744" priority="1">
      <formula>M37&gt;0</formula>
    </cfRule>
    <cfRule type="expression" dxfId="743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 t="shared" ref="F2:F4" si="0"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1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1"/>
        <v>3962.61</v>
      </c>
      <c r="O3" s="11" t="s">
        <v>58</v>
      </c>
      <c r="Q3" s="78">
        <f>IF(Q2=0, Q4, (F18-K18-M18)/Q2)</f>
        <v>277.89999999999998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 t="shared" si="0"/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1"/>
        <v>3964.1099999999997</v>
      </c>
      <c r="O4" s="11" t="s">
        <v>66</v>
      </c>
      <c r="Q4" s="54">
        <v>277.89999999999998</v>
      </c>
      <c r="R4" s="475">
        <v>8.9999999999999993E-3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2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1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2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1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2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1"/>
        <v>2679.94</v>
      </c>
      <c r="O7" s="11" t="s">
        <v>178</v>
      </c>
      <c r="P7"/>
      <c r="Q7" s="780">
        <f>Q10+Q8</f>
        <v>1034.5399999999991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2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1"/>
        <v>4141.1499999999996</v>
      </c>
      <c r="O8" s="11" t="s">
        <v>180</v>
      </c>
      <c r="Q8" s="20">
        <f>K18+M18-F18+Q2*Q4</f>
        <v>873.70999999999913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2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1"/>
        <v>4097.6499999999996</v>
      </c>
      <c r="O9" s="11" t="s">
        <v>208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2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1"/>
        <v>5454.7300000000005</v>
      </c>
      <c r="O10" s="11" t="s">
        <v>207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2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973</v>
      </c>
      <c r="Q13" s="2">
        <f>Q4/13</f>
        <v>21.376923076923074</v>
      </c>
      <c r="R13" s="22" t="s">
        <v>978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51" t="s">
        <v>78</v>
      </c>
      <c r="Q17" s="851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54.84</v>
      </c>
      <c r="P18" s="81">
        <v>1.1000000000000001</v>
      </c>
      <c r="Q18" s="81">
        <f>P18*$Q$4</f>
        <v>305.69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3">SumByColor($A$19,F2:F17)</f>
        <v>35382</v>
      </c>
      <c r="G19" s="344"/>
      <c r="H19" s="344">
        <f t="shared" si="3"/>
        <v>135</v>
      </c>
      <c r="I19" s="344"/>
      <c r="J19" s="344"/>
      <c r="K19" s="344">
        <f t="shared" si="3"/>
        <v>36202</v>
      </c>
      <c r="L19" s="344"/>
      <c r="M19" s="344">
        <f t="shared" si="3"/>
        <v>55</v>
      </c>
      <c r="P19" s="81">
        <v>1.0900000000000001</v>
      </c>
      <c r="Q19" s="81">
        <f t="shared" ref="Q19:Q38" si="4">P19*$Q$4</f>
        <v>302.911</v>
      </c>
      <c r="R19" s="81"/>
      <c r="AA19" s="225"/>
      <c r="AD19" s="225"/>
    </row>
    <row r="20" spans="1:30" x14ac:dyDescent="0.25">
      <c r="P20" s="81">
        <v>1.08</v>
      </c>
      <c r="Q20" s="81">
        <f t="shared" si="4"/>
        <v>300.13200000000001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4"/>
        <v>297.35300000000001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5">C22*(E22-D22)</f>
        <v>-68.250000000000455</v>
      </c>
      <c r="G22" s="39">
        <f t="shared" ref="G22:G27" si="6">D22*C22</f>
        <v>6954.5</v>
      </c>
      <c r="H22" s="222">
        <f t="shared" ref="H22:H27" si="7">(E22-D22)/D22</f>
        <v>-9.8137896326120425E-3</v>
      </c>
      <c r="I22" s="39"/>
      <c r="J22" s="39"/>
      <c r="K22" s="39"/>
      <c r="P22" s="81">
        <v>1.06</v>
      </c>
      <c r="Q22" s="81">
        <f t="shared" si="4"/>
        <v>294.57400000000001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5"/>
        <v>-286.75000000000068</v>
      </c>
      <c r="G23" s="39">
        <f t="shared" si="6"/>
        <v>13483.250000000002</v>
      </c>
      <c r="H23" s="222">
        <f t="shared" si="7"/>
        <v>-2.1267127732557109E-2</v>
      </c>
      <c r="I23" s="39"/>
      <c r="J23" s="39"/>
      <c r="K23" s="39"/>
      <c r="P23" s="81">
        <v>1.05</v>
      </c>
      <c r="Q23" s="81">
        <f t="shared" si="4"/>
        <v>291.79500000000002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5"/>
        <v>-210.90000000000089</v>
      </c>
      <c r="G24" s="39">
        <f t="shared" si="6"/>
        <v>19823.400000000001</v>
      </c>
      <c r="H24" s="222">
        <f t="shared" si="7"/>
        <v>-1.0638941856593767E-2</v>
      </c>
      <c r="I24" s="39"/>
      <c r="J24" s="39"/>
      <c r="K24" s="39"/>
      <c r="P24" s="81">
        <v>1.04</v>
      </c>
      <c r="Q24" s="81">
        <f t="shared" si="4"/>
        <v>289.01599999999996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5"/>
        <v>-180.89999999999975</v>
      </c>
      <c r="G25" s="39">
        <f t="shared" si="6"/>
        <v>13255.9</v>
      </c>
      <c r="H25" s="222">
        <f t="shared" si="7"/>
        <v>-1.3646753521073616E-2</v>
      </c>
      <c r="I25" s="39"/>
      <c r="J25" s="39"/>
      <c r="K25" s="39"/>
      <c r="P25" s="81">
        <v>1.03</v>
      </c>
      <c r="Q25" s="81">
        <f t="shared" si="4"/>
        <v>286.23699999999997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5"/>
        <v>268.6000000000007</v>
      </c>
      <c r="G26" s="39">
        <f t="shared" si="6"/>
        <v>13255.9</v>
      </c>
      <c r="H26" s="222">
        <f t="shared" si="7"/>
        <v>2.0262675487896009E-2</v>
      </c>
      <c r="I26" s="39"/>
      <c r="J26" s="39"/>
      <c r="K26" s="39"/>
      <c r="P26" s="81">
        <v>1.02</v>
      </c>
      <c r="Q26" s="81">
        <f t="shared" si="4"/>
        <v>283.45799999999997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5"/>
        <v>-61.499999999998636</v>
      </c>
      <c r="G27" s="39">
        <f t="shared" si="6"/>
        <v>15881.699999999999</v>
      </c>
      <c r="H27" s="222">
        <f t="shared" si="7"/>
        <v>-3.8723814201249637E-3</v>
      </c>
      <c r="I27" s="39"/>
      <c r="J27" s="39"/>
      <c r="K27" s="39"/>
      <c r="P27" s="81">
        <v>1.01</v>
      </c>
      <c r="Q27" s="81">
        <f t="shared" si="4"/>
        <v>280.67899999999997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8">C28*(E28-D28)</f>
        <v>-245.69999999999823</v>
      </c>
      <c r="G28" s="39">
        <f t="shared" ref="G28:G37" si="9">D28*C28</f>
        <v>15881.699999999999</v>
      </c>
      <c r="H28" s="222">
        <f t="shared" ref="H28:H37" si="10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4"/>
        <v>277.89999999999998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8"/>
        <v>-402.14999999999748</v>
      </c>
      <c r="G29" s="39">
        <f t="shared" si="9"/>
        <v>19712.399999999998</v>
      </c>
      <c r="H29" s="222">
        <f t="shared" si="10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4"/>
        <v>275.12099999999998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8"/>
        <v>63.779999999999291</v>
      </c>
      <c r="G30" s="39">
        <f t="shared" si="9"/>
        <v>15749.820000000002</v>
      </c>
      <c r="H30" s="222">
        <f t="shared" si="10"/>
        <v>4.0495700903247969E-3</v>
      </c>
      <c r="I30" s="39"/>
      <c r="J30" s="39">
        <v>225</v>
      </c>
      <c r="K30" s="39"/>
      <c r="P30" s="81">
        <v>0.98</v>
      </c>
      <c r="Q30" s="81">
        <f t="shared" si="4"/>
        <v>272.34199999999998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8"/>
        <v>-174.97500000000201</v>
      </c>
      <c r="G31" s="39">
        <f t="shared" si="9"/>
        <v>19643.475000000002</v>
      </c>
      <c r="H31" s="222">
        <f t="shared" si="10"/>
        <v>-8.9075379992593975E-3</v>
      </c>
      <c r="I31" s="39"/>
      <c r="J31" s="39"/>
      <c r="K31" s="39"/>
      <c r="P31" s="81">
        <v>0.97</v>
      </c>
      <c r="Q31" s="81">
        <f t="shared" si="4"/>
        <v>269.56299999999999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8"/>
        <v>-19.379999999998745</v>
      </c>
      <c r="G32" s="39">
        <f t="shared" si="9"/>
        <v>15679.38</v>
      </c>
      <c r="H32" s="222">
        <f t="shared" si="10"/>
        <v>-1.2360182609260535E-3</v>
      </c>
      <c r="I32" s="39"/>
      <c r="J32" s="39">
        <v>141</v>
      </c>
      <c r="K32" s="39"/>
      <c r="P32" s="81">
        <v>0.96</v>
      </c>
      <c r="Q32" s="81">
        <f t="shared" si="4"/>
        <v>266.78399999999999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8"/>
        <v>234.85000000000014</v>
      </c>
      <c r="G33" s="39">
        <f t="shared" si="9"/>
        <v>13022.649999999998</v>
      </c>
      <c r="H33" s="222">
        <f t="shared" si="10"/>
        <v>1.8033963901356496E-2</v>
      </c>
      <c r="I33" s="39"/>
      <c r="J33" s="39">
        <v>396</v>
      </c>
      <c r="K33" s="39"/>
      <c r="P33" s="81">
        <v>0.95</v>
      </c>
      <c r="Q33" s="81">
        <f t="shared" si="4"/>
        <v>264.00499999999994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8"/>
        <v>347.20000000000027</v>
      </c>
      <c r="G34" s="39">
        <f t="shared" si="9"/>
        <v>10346</v>
      </c>
      <c r="H34" s="222">
        <f t="shared" si="10"/>
        <v>3.3558863328822762E-2</v>
      </c>
      <c r="I34" s="39"/>
      <c r="J34" s="39">
        <v>508</v>
      </c>
      <c r="K34" s="39"/>
      <c r="P34" s="81">
        <v>0.94</v>
      </c>
      <c r="Q34" s="81">
        <f t="shared" si="4"/>
        <v>261.22599999999994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8"/>
        <v>190.20000000000152</v>
      </c>
      <c r="G35" s="39">
        <f t="shared" si="9"/>
        <v>12958.8</v>
      </c>
      <c r="H35" s="222">
        <f t="shared" si="10"/>
        <v>1.4677284933790283E-2</v>
      </c>
      <c r="I35" s="39"/>
      <c r="J35" s="39">
        <v>351</v>
      </c>
      <c r="K35" s="39"/>
      <c r="P35" s="81">
        <v>0.93</v>
      </c>
      <c r="Q35" s="81">
        <f t="shared" si="4"/>
        <v>258.447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8"/>
        <v>345.05000000000052</v>
      </c>
      <c r="G36" s="39">
        <f t="shared" si="9"/>
        <v>12903.95</v>
      </c>
      <c r="H36" s="222">
        <f t="shared" si="10"/>
        <v>2.6739874224559187E-2</v>
      </c>
      <c r="I36" s="39"/>
      <c r="J36" s="39">
        <v>505.87</v>
      </c>
      <c r="K36" s="39"/>
      <c r="P36" s="81">
        <v>0.92</v>
      </c>
      <c r="Q36" s="81">
        <f t="shared" si="4"/>
        <v>255.66799999999998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8"/>
        <v>257.45999999999981</v>
      </c>
      <c r="G37" s="39">
        <f t="shared" si="9"/>
        <v>15499.74</v>
      </c>
      <c r="H37" s="222">
        <f t="shared" si="10"/>
        <v>1.6610601210084803E-2</v>
      </c>
      <c r="I37" s="39"/>
      <c r="J37" s="39">
        <v>418</v>
      </c>
      <c r="K37" s="39"/>
      <c r="P37" s="81">
        <v>0.91</v>
      </c>
      <c r="Q37" s="81">
        <f t="shared" si="4"/>
        <v>252.88899999999998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 t="shared" ref="F38" si="11">C38*(E38-D38)</f>
        <v>526.00000000000193</v>
      </c>
      <c r="G38" s="39">
        <f t="shared" ref="G38" si="12">D38*C38</f>
        <v>12819.999999999998</v>
      </c>
      <c r="H38" s="222">
        <f t="shared" ref="H38" si="13"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4"/>
        <v>250.10999999999999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 t="shared" ref="F39:F41" si="14">C39*(E39-D39)</f>
        <v>792.00000000000159</v>
      </c>
      <c r="G39" s="39">
        <f t="shared" ref="G39:G41" si="15">D39*C39</f>
        <v>12819.999999999998</v>
      </c>
      <c r="H39" s="222">
        <f t="shared" ref="H39:H41" si="16"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 t="shared" si="14"/>
        <v>980.28000000000134</v>
      </c>
      <c r="G40" s="39">
        <f t="shared" si="15"/>
        <v>8678.67</v>
      </c>
      <c r="H40" s="222">
        <f t="shared" si="16"/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 t="shared" si="14"/>
        <v>881.2</v>
      </c>
      <c r="G41" s="39">
        <f t="shared" si="15"/>
        <v>4581</v>
      </c>
      <c r="H41" s="222">
        <f t="shared" si="16"/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207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7">C69*(E69-D69)</f>
        <v>-96.699999999999875</v>
      </c>
      <c r="G69" s="636">
        <f t="shared" ref="G69:G75" si="18">D69*C69</f>
        <v>4791.95</v>
      </c>
      <c r="H69" s="637">
        <f t="shared" ref="H69:H75" si="19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7"/>
        <v>11.749999999999972</v>
      </c>
      <c r="G70" s="636">
        <f t="shared" si="18"/>
        <v>947.6</v>
      </c>
      <c r="H70" s="637">
        <f t="shared" si="19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7"/>
        <v>-8.6199999999996635</v>
      </c>
      <c r="G71" s="636">
        <f t="shared" si="18"/>
        <v>3764.62</v>
      </c>
      <c r="H71" s="637">
        <f t="shared" si="19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7"/>
        <v>-46.870000000000545</v>
      </c>
      <c r="G72" s="636">
        <f t="shared" si="18"/>
        <v>4682.37</v>
      </c>
      <c r="H72" s="637">
        <f t="shared" si="19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7"/>
        <v>56.79000000000002</v>
      </c>
      <c r="G73" s="636">
        <f t="shared" si="18"/>
        <v>2789.91</v>
      </c>
      <c r="H73" s="637">
        <f t="shared" si="19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7"/>
        <v>119.05000000000001</v>
      </c>
      <c r="G74" s="636">
        <f t="shared" si="18"/>
        <v>846.94999999999993</v>
      </c>
      <c r="H74" s="637">
        <f t="shared" si="19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7"/>
        <v>148.05000000000007</v>
      </c>
      <c r="G75" s="636">
        <f t="shared" si="18"/>
        <v>846.94999999999993</v>
      </c>
      <c r="H75" s="637">
        <f t="shared" si="19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42" priority="47">
      <formula>F26&gt;0</formula>
    </cfRule>
    <cfRule type="expression" dxfId="741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40" priority="35">
      <formula>F22&gt;0</formula>
    </cfRule>
    <cfRule type="expression" dxfId="739" priority="36">
      <formula>F22&lt;0</formula>
    </cfRule>
  </conditionalFormatting>
  <conditionalFormatting sqref="H22:H25">
    <cfRule type="expression" dxfId="738" priority="33">
      <formula>H22&gt;0</formula>
    </cfRule>
    <cfRule type="expression" dxfId="737" priority="34">
      <formula>H22&lt;0</formula>
    </cfRule>
  </conditionalFormatting>
  <conditionalFormatting sqref="Q8">
    <cfRule type="expression" dxfId="736" priority="29">
      <formula>Q8&gt;0</formula>
    </cfRule>
    <cfRule type="expression" dxfId="735" priority="30">
      <formula>Q8&lt;0</formula>
    </cfRule>
  </conditionalFormatting>
  <conditionalFormatting sqref="Q7">
    <cfRule type="expression" dxfId="734" priority="31">
      <formula>Q7&gt;0</formula>
    </cfRule>
    <cfRule type="expression" dxfId="733" priority="32">
      <formula>Q7&lt;0</formula>
    </cfRule>
  </conditionalFormatting>
  <conditionalFormatting sqref="F72:F74">
    <cfRule type="expression" dxfId="732" priority="27">
      <formula>F72&gt;0</formula>
    </cfRule>
    <cfRule type="expression" dxfId="731" priority="28">
      <formula>F72&lt;0</formula>
    </cfRule>
  </conditionalFormatting>
  <conditionalFormatting sqref="F75:F82">
    <cfRule type="expression" dxfId="730" priority="23">
      <formula>F75&gt;0</formula>
    </cfRule>
    <cfRule type="expression" dxfId="729" priority="24">
      <formula>F75&lt;0</formula>
    </cfRule>
  </conditionalFormatting>
  <conditionalFormatting sqref="F75:F82">
    <cfRule type="expression" dxfId="728" priority="25">
      <formula>F75&gt;0</formula>
    </cfRule>
    <cfRule type="expression" dxfId="727" priority="26">
      <formula>F75&lt;0</formula>
    </cfRule>
  </conditionalFormatting>
  <conditionalFormatting sqref="H72:H82">
    <cfRule type="expression" dxfId="726" priority="21">
      <formula>H72&gt;0</formula>
    </cfRule>
    <cfRule type="expression" dxfId="725" priority="22">
      <formula>H72&lt;0</formula>
    </cfRule>
  </conditionalFormatting>
  <conditionalFormatting sqref="F68:F71">
    <cfRule type="expression" dxfId="724" priority="19">
      <formula>F68&gt;0</formula>
    </cfRule>
    <cfRule type="expression" dxfId="723" priority="20">
      <formula>F68&lt;0</formula>
    </cfRule>
  </conditionalFormatting>
  <conditionalFormatting sqref="H68:H71">
    <cfRule type="expression" dxfId="722" priority="17">
      <formula>H68&gt;0</formula>
    </cfRule>
    <cfRule type="expression" dxfId="721" priority="18">
      <formula>H68&lt;0</formula>
    </cfRule>
  </conditionalFormatting>
  <conditionalFormatting sqref="Q10">
    <cfRule type="expression" dxfId="720" priority="15">
      <formula>Q10&gt;0</formula>
    </cfRule>
    <cfRule type="expression" dxfId="719" priority="16">
      <formula>Q10&lt;0</formula>
    </cfRule>
  </conditionalFormatting>
  <conditionalFormatting sqref="H43 F43">
    <cfRule type="expression" dxfId="718" priority="11">
      <formula>F43&gt;0</formula>
    </cfRule>
    <cfRule type="expression" dxfId="717" priority="12">
      <formula>F43&lt;0</formula>
    </cfRule>
  </conditionalFormatting>
  <conditionalFormatting sqref="H37:H39 F37:F39">
    <cfRule type="expression" dxfId="716" priority="9">
      <formula>F37&gt;0</formula>
    </cfRule>
    <cfRule type="expression" dxfId="715" priority="10">
      <formula>F37&lt;0</formula>
    </cfRule>
  </conditionalFormatting>
  <conditionalFormatting sqref="H35:H36 F35:F36">
    <cfRule type="expression" dxfId="714" priority="7">
      <formula>F35&gt;0</formula>
    </cfRule>
    <cfRule type="expression" dxfId="713" priority="8">
      <formula>F35&lt;0</formula>
    </cfRule>
  </conditionalFormatting>
  <conditionalFormatting sqref="H41:H42 F41:F42 J40:J41">
    <cfRule type="expression" dxfId="712" priority="5">
      <formula>F40&gt;0</formula>
    </cfRule>
    <cfRule type="expression" dxfId="711" priority="6">
      <formula>F40&lt;0</formula>
    </cfRule>
  </conditionalFormatting>
  <conditionalFormatting sqref="H40 F40">
    <cfRule type="expression" dxfId="710" priority="3">
      <formula>F40&gt;0</formula>
    </cfRule>
    <cfRule type="expression" dxfId="709" priority="4">
      <formula>F40&lt;0</formula>
    </cfRule>
  </conditionalFormatting>
  <conditionalFormatting sqref="J42:J45">
    <cfRule type="expression" dxfId="708" priority="1">
      <formula>J42&gt;0</formula>
    </cfRule>
    <cfRule type="expression" dxfId="707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100.43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100.43</v>
      </c>
      <c r="R4" s="475">
        <v>3.0000000000000001E-3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208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207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245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110.47300000000001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250</v>
      </c>
      <c r="O38" s="2"/>
      <c r="P38" s="81">
        <v>1.0900000000000001</v>
      </c>
      <c r="Q38" s="81">
        <f t="shared" ref="Q38:Q57" si="5">P38*$Q$4</f>
        <v>109.46870000000001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108.46440000000001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107.46010000000001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106.45580000000001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105.45150000000001</v>
      </c>
      <c r="R42" s="81"/>
      <c r="T42" s="85" t="s">
        <v>99</v>
      </c>
      <c r="U42" s="127" t="s">
        <v>616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104.44720000000001</v>
      </c>
      <c r="R43" s="81"/>
      <c r="T43" s="85" t="s">
        <v>100</v>
      </c>
      <c r="U43" s="127" t="s">
        <v>617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103.44290000000001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102.43860000000001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101.43430000000001</v>
      </c>
      <c r="R46" s="81"/>
      <c r="T46" s="85" t="s">
        <v>121</v>
      </c>
      <c r="U46" s="92" t="s">
        <v>369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100.43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99.425700000000006</v>
      </c>
      <c r="R48" s="81"/>
      <c r="T48" s="85" t="s">
        <v>104</v>
      </c>
      <c r="U48" s="127" t="s">
        <v>618</v>
      </c>
      <c r="W48" s="92">
        <v>42766</v>
      </c>
      <c r="X48" s="10" t="s">
        <v>311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98.421400000000006</v>
      </c>
      <c r="R49" s="81"/>
      <c r="T49" s="85" t="s">
        <v>105</v>
      </c>
      <c r="U49" s="127" t="s">
        <v>619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97.417100000000005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96.412800000000004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95.408500000000004</v>
      </c>
      <c r="R52" s="81"/>
      <c r="T52" s="85" t="s">
        <v>107</v>
      </c>
      <c r="U52" s="127" t="s">
        <v>620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94.404200000000003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93.399900000000017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92.395600000000016</v>
      </c>
      <c r="R55" s="81"/>
      <c r="T55" s="85" t="s">
        <v>108</v>
      </c>
      <c r="U55" s="127" t="s">
        <v>532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91.391300000000015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90.387000000000015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06" priority="29">
      <formula>F40&gt;0</formula>
    </cfRule>
    <cfRule type="expression" dxfId="705" priority="30">
      <formula>F40&lt;0</formula>
    </cfRule>
  </conditionalFormatting>
  <conditionalFormatting sqref="F40:F45">
    <cfRule type="expression" dxfId="704" priority="31">
      <formula>F40&gt;0</formula>
    </cfRule>
    <cfRule type="expression" dxfId="703" priority="32">
      <formula>F40&lt;0</formula>
    </cfRule>
  </conditionalFormatting>
  <conditionalFormatting sqref="H40:H45">
    <cfRule type="expression" dxfId="702" priority="27">
      <formula>H40&gt;0</formula>
    </cfRule>
    <cfRule type="expression" dxfId="701" priority="28">
      <formula>H40&lt;0</formula>
    </cfRule>
  </conditionalFormatting>
  <conditionalFormatting sqref="F23:F39">
    <cfRule type="expression" dxfId="700" priority="13">
      <formula>F23&gt;0</formula>
    </cfRule>
    <cfRule type="expression" dxfId="699" priority="14">
      <formula>F23&lt;0</formula>
    </cfRule>
  </conditionalFormatting>
  <conditionalFormatting sqref="H23:H39">
    <cfRule type="expression" dxfId="698" priority="11">
      <formula>H23&gt;0</formula>
    </cfRule>
    <cfRule type="expression" dxfId="697" priority="12">
      <formula>H23&lt;0</formula>
    </cfRule>
  </conditionalFormatting>
  <conditionalFormatting sqref="Q7">
    <cfRule type="expression" dxfId="696" priority="9">
      <formula>Q7&gt;0</formula>
    </cfRule>
    <cfRule type="expression" dxfId="695" priority="10">
      <formula>Q7&lt;0</formula>
    </cfRule>
  </conditionalFormatting>
  <conditionalFormatting sqref="Q8">
    <cfRule type="expression" dxfId="694" priority="7">
      <formula>Q8&gt;0</formula>
    </cfRule>
    <cfRule type="expression" dxfId="693" priority="8">
      <formula>Q8&lt;0</formula>
    </cfRule>
  </conditionalFormatting>
  <conditionalFormatting sqref="Q10">
    <cfRule type="expression" dxfId="692" priority="1">
      <formula>Q10&gt;0</formula>
    </cfRule>
    <cfRule type="expression" dxfId="691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0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0</v>
      </c>
      <c r="R4" s="475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208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207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207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0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0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0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0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0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0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0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0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0</v>
      </c>
      <c r="Q51" s="2"/>
      <c r="T51" s="106" t="s">
        <v>104</v>
      </c>
      <c r="U51" s="104" t="s">
        <v>621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0</v>
      </c>
      <c r="Q52" s="2"/>
      <c r="T52" s="106" t="s">
        <v>105</v>
      </c>
      <c r="U52" s="104" t="s">
        <v>622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0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0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0</v>
      </c>
      <c r="T55" s="106" t="s">
        <v>107</v>
      </c>
      <c r="U55" s="104" t="s">
        <v>623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0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0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0</v>
      </c>
      <c r="T58" s="106" t="s">
        <v>108</v>
      </c>
      <c r="U58" s="104" t="s">
        <v>518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0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0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0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0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0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90" priority="39">
      <formula>Q12&gt;0</formula>
    </cfRule>
    <cfRule type="expression" dxfId="689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88" priority="33">
      <formula>F25&gt;0</formula>
    </cfRule>
    <cfRule type="expression" dxfId="687" priority="34">
      <formula>F25&lt;0</formula>
    </cfRule>
  </conditionalFormatting>
  <conditionalFormatting sqref="F30">
    <cfRule type="expression" dxfId="686" priority="31">
      <formula>F30&gt;0</formula>
    </cfRule>
    <cfRule type="expression" dxfId="685" priority="32">
      <formula>F30&lt;0</formula>
    </cfRule>
  </conditionalFormatting>
  <conditionalFormatting sqref="F31">
    <cfRule type="expression" dxfId="684" priority="29">
      <formula>F31&gt;0</formula>
    </cfRule>
    <cfRule type="expression" dxfId="683" priority="30">
      <formula>F31&lt;0</formula>
    </cfRule>
  </conditionalFormatting>
  <conditionalFormatting sqref="F32:F34">
    <cfRule type="expression" dxfId="682" priority="27">
      <formula>F32&gt;0</formula>
    </cfRule>
    <cfRule type="expression" dxfId="681" priority="28">
      <formula>F32&lt;0</formula>
    </cfRule>
  </conditionalFormatting>
  <conditionalFormatting sqref="H25:H29">
    <cfRule type="expression" dxfId="680" priority="25">
      <formula>H25&gt;0</formula>
    </cfRule>
    <cfRule type="expression" dxfId="679" priority="26">
      <formula>H25&lt;0</formula>
    </cfRule>
  </conditionalFormatting>
  <conditionalFormatting sqref="H30">
    <cfRule type="expression" dxfId="678" priority="23">
      <formula>H30&gt;0</formula>
    </cfRule>
    <cfRule type="expression" dxfId="677" priority="24">
      <formula>H30&lt;0</formula>
    </cfRule>
  </conditionalFormatting>
  <conditionalFormatting sqref="H31">
    <cfRule type="expression" dxfId="676" priority="21">
      <formula>H31&gt;0</formula>
    </cfRule>
    <cfRule type="expression" dxfId="675" priority="22">
      <formula>H31&lt;0</formula>
    </cfRule>
  </conditionalFormatting>
  <conditionalFormatting sqref="H32:H34">
    <cfRule type="expression" dxfId="674" priority="19">
      <formula>H32&gt;0</formula>
    </cfRule>
    <cfRule type="expression" dxfId="673" priority="20">
      <formula>H32&lt;0</formula>
    </cfRule>
  </conditionalFormatting>
  <conditionalFormatting sqref="F35">
    <cfRule type="expression" dxfId="672" priority="17">
      <formula>F35&gt;0</formula>
    </cfRule>
    <cfRule type="expression" dxfId="671" priority="18">
      <formula>F35&lt;0</formula>
    </cfRule>
  </conditionalFormatting>
  <conditionalFormatting sqref="H35">
    <cfRule type="expression" dxfId="670" priority="15">
      <formula>H35&gt;0</formula>
    </cfRule>
    <cfRule type="expression" dxfId="669" priority="16">
      <formula>H35&lt;0</formula>
    </cfRule>
  </conditionalFormatting>
  <conditionalFormatting sqref="F36">
    <cfRule type="expression" dxfId="668" priority="13">
      <formula>F36&gt;0</formula>
    </cfRule>
    <cfRule type="expression" dxfId="667" priority="14">
      <formula>F36&lt;0</formula>
    </cfRule>
  </conditionalFormatting>
  <conditionalFormatting sqref="H36">
    <cfRule type="expression" dxfId="666" priority="11">
      <formula>H36&gt;0</formula>
    </cfRule>
    <cfRule type="expression" dxfId="665" priority="12">
      <formula>H36&lt;0</formula>
    </cfRule>
  </conditionalFormatting>
  <conditionalFormatting sqref="H23:H24">
    <cfRule type="expression" dxfId="664" priority="5">
      <formula>H23&gt;0</formula>
    </cfRule>
    <cfRule type="expression" dxfId="663" priority="6">
      <formula>H23&lt;0</formula>
    </cfRule>
  </conditionalFormatting>
  <conditionalFormatting sqref="F23:F24">
    <cfRule type="expression" dxfId="662" priority="7">
      <formula>F23&gt;0</formula>
    </cfRule>
    <cfRule type="expression" dxfId="661" priority="8">
      <formula>F23&lt;0</formula>
    </cfRule>
  </conditionalFormatting>
  <conditionalFormatting sqref="Q7">
    <cfRule type="expression" dxfId="660" priority="3">
      <formula>Q7&gt;0</formula>
    </cfRule>
    <cfRule type="expression" dxfId="659" priority="4">
      <formula>Q7&lt;0</formula>
    </cfRule>
  </conditionalFormatting>
  <conditionalFormatting sqref="Q8">
    <cfRule type="expression" dxfId="658" priority="1">
      <formula>Q8&gt;0</formula>
    </cfRule>
    <cfRule type="expression" dxfId="657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6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7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0</v>
      </c>
      <c r="T2" s="83">
        <v>42566</v>
      </c>
      <c r="U2" t="s">
        <v>233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56.77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56.77</v>
      </c>
      <c r="R4" s="475">
        <v>1.5900000000000001E-2</v>
      </c>
      <c r="T4" s="816">
        <v>43203</v>
      </c>
      <c r="U4" t="s">
        <v>1000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4"/>
      <c r="M5" s="4"/>
      <c r="O5" s="11" t="s">
        <v>67</v>
      </c>
      <c r="Q5" s="3">
        <f>Q4*Q2</f>
        <v>0</v>
      </c>
      <c r="U5" t="s">
        <v>1002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0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ref="F7" si="2">C7*D7+E7</f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2369.9599999999955</v>
      </c>
      <c r="R7">
        <v>0</v>
      </c>
      <c r="T7" s="83">
        <v>43237</v>
      </c>
      <c r="U7" t="s">
        <v>1085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>C8*D8+E8</f>
        <v>4358.3999999999996</v>
      </c>
      <c r="G8" s="72"/>
      <c r="H8" s="176"/>
      <c r="I8" s="3"/>
      <c r="J8" s="3"/>
      <c r="K8" s="3"/>
      <c r="L8" s="4"/>
      <c r="M8" s="4"/>
      <c r="O8" s="11" t="s">
        <v>180</v>
      </c>
      <c r="Q8" s="2">
        <f>K18+M18-F18+Q2*Q4</f>
        <v>765.37999999999374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>C9*D9+E9</f>
        <v>2654</v>
      </c>
      <c r="G9" s="72"/>
      <c r="H9" s="176"/>
      <c r="I9" s="3"/>
      <c r="J9" s="3"/>
      <c r="K9" s="3"/>
      <c r="L9" s="4"/>
      <c r="M9" s="4"/>
      <c r="O9" s="11" t="s">
        <v>208</v>
      </c>
      <c r="P9"/>
      <c r="Q9" s="134">
        <f>IF(Q2=0, 0, Q8/Q6)</f>
        <v>0</v>
      </c>
      <c r="W9" s="2"/>
      <c r="X9" s="134"/>
      <c r="AD9" s="225"/>
      <c r="AG9" s="225"/>
    </row>
    <row r="10" spans="1:33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Q10" s="2">
        <f>M57</f>
        <v>1604.5800000000017</v>
      </c>
      <c r="W10" s="2"/>
      <c r="X10" s="134"/>
    </row>
    <row r="11" spans="1:33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Q11" s="134">
        <f>0.39*4/Q4</f>
        <v>2.7479302448476309E-2</v>
      </c>
      <c r="R11">
        <v>0.39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946</v>
      </c>
      <c r="Q12" s="1" t="s">
        <v>1123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973</v>
      </c>
      <c r="Q13" s="2">
        <f>Q4/4.52</f>
        <v>12.559734513274337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62.44700000000001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450</v>
      </c>
      <c r="D18" s="18"/>
      <c r="E18" s="18"/>
      <c r="F18" s="18">
        <f>SUM(F2:F17)</f>
        <v>24280.400000000001</v>
      </c>
      <c r="G18" s="14"/>
      <c r="H18" s="71">
        <f>SUM(H2:H17)</f>
        <v>450</v>
      </c>
      <c r="I18" s="18"/>
      <c r="J18" s="18"/>
      <c r="K18" s="18">
        <f>SUM(K2:K17)</f>
        <v>24889.779999999995</v>
      </c>
      <c r="L18" s="18"/>
      <c r="M18" s="18">
        <f>SUM(M2:M17)</f>
        <v>156</v>
      </c>
      <c r="P18" s="81">
        <v>1.0900000000000001</v>
      </c>
      <c r="Q18" s="81">
        <f t="shared" ref="Q18:Q37" si="3">P18*$Q$4</f>
        <v>61.879300000000008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24280</v>
      </c>
      <c r="G19" s="343"/>
      <c r="H19" s="343">
        <f>SumByColor($A$19,H2:H17)</f>
        <v>450</v>
      </c>
      <c r="I19" s="343"/>
      <c r="J19" s="343"/>
      <c r="K19" s="344">
        <f>SumByColor($A$19,K2:K17)</f>
        <v>24890</v>
      </c>
      <c r="L19" s="343"/>
      <c r="M19" s="344">
        <f>SumByColor($A$19,M2:M17)</f>
        <v>156</v>
      </c>
      <c r="P19" s="81">
        <v>1.08</v>
      </c>
      <c r="Q19" s="81">
        <f t="shared" si="3"/>
        <v>61.311600000000006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3"/>
        <v>60.743900000000004</v>
      </c>
      <c r="W20" s="2"/>
      <c r="X20" s="134"/>
    </row>
    <row r="21" spans="1:33" x14ac:dyDescent="0.25">
      <c r="P21" s="81">
        <v>1.06</v>
      </c>
      <c r="Q21" s="81">
        <f t="shared" si="3"/>
        <v>60.176200000000009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3"/>
        <v>59.608500000000006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497</v>
      </c>
      <c r="L23" s="220" t="s">
        <v>973</v>
      </c>
      <c r="M23" s="10"/>
      <c r="P23" s="81">
        <v>1.04</v>
      </c>
      <c r="Q23" s="81">
        <f t="shared" si="3"/>
        <v>59.040800000000004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" si="4">C24*(E24-D24)</f>
        <v>71.999999999999886</v>
      </c>
      <c r="G24" s="39">
        <f t="shared" ref="G24" si="5">D24*C24</f>
        <v>2151.1999999999998</v>
      </c>
      <c r="H24" s="222">
        <f t="shared" ref="H24" si="6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3"/>
        <v>58.473100000000002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ref="F25" si="7">C25*(E25-D25)</f>
        <v>14.796000000000049</v>
      </c>
      <c r="G25" s="39">
        <f t="shared" ref="G25" si="8">D25*C25</f>
        <v>6392.0039999999999</v>
      </c>
      <c r="H25" s="222">
        <f t="shared" ref="H25" si="9">(E25-D25)/D25</f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3"/>
        <v>57.905400000000007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ref="F26" si="10">C26*(E26-D26)</f>
        <v>197.19599999999957</v>
      </c>
      <c r="G26" s="39">
        <f t="shared" ref="G26" si="11">D26*C26</f>
        <v>6392.0039999999999</v>
      </c>
      <c r="H26" s="222">
        <f t="shared" ref="H26" si="12">(E26-D26)/D26</f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3"/>
        <v>57.337700000000005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ref="F27" si="13">C27*(E27-D27)</f>
        <v>481.64800000000014</v>
      </c>
      <c r="G27" s="39">
        <f t="shared" ref="G27" si="14">D27*C27</f>
        <v>4100.7520000000004</v>
      </c>
      <c r="H27" s="222">
        <f t="shared" ref="H27" si="15">(E27-D27)/D27</f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3"/>
        <v>56.77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ref="F28" si="16">C28*(E28-D28)</f>
        <v>441.952</v>
      </c>
      <c r="G28" s="39">
        <f t="shared" ref="G28" si="17">D28*C28</f>
        <v>4054.0480000000002</v>
      </c>
      <c r="H28" s="222">
        <f t="shared" ref="H28" si="18">(E28-D28)/D28</f>
        <v>0.10901498946238426</v>
      </c>
      <c r="I28" s="39" t="s">
        <v>770</v>
      </c>
      <c r="J28" s="39">
        <v>2047</v>
      </c>
      <c r="K28" s="39"/>
      <c r="L28" s="10"/>
      <c r="M28" s="10"/>
      <c r="P28" s="81">
        <v>0.99</v>
      </c>
      <c r="Q28" s="81">
        <f t="shared" si="3"/>
        <v>56.202300000000001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ref="F29" si="19">C29*(E29-D29)</f>
        <v>909.1519999999997</v>
      </c>
      <c r="G29" s="39">
        <f t="shared" ref="G29" si="20">D29*C29</f>
        <v>4054.0480000000002</v>
      </c>
      <c r="H29" s="222">
        <f t="shared" ref="H29" si="21">(E29-D29)/D29</f>
        <v>0.22425782822502341</v>
      </c>
      <c r="I29" s="39" t="s">
        <v>855</v>
      </c>
      <c r="J29" s="39">
        <v>2514</v>
      </c>
      <c r="K29" s="39"/>
      <c r="L29" s="10"/>
      <c r="M29" s="10"/>
      <c r="P29" s="81">
        <v>0.98</v>
      </c>
      <c r="Q29" s="81">
        <f t="shared" si="3"/>
        <v>55.634599999999999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ref="F30" si="22">C30*(E30-D30)</f>
        <v>1056.3519999999999</v>
      </c>
      <c r="G30" s="39">
        <f t="shared" ref="G30" si="23">D30*C30</f>
        <v>4054.0480000000002</v>
      </c>
      <c r="H30" s="222">
        <f t="shared" ref="H30" si="24">(E30-D30)/D30</f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3"/>
        <v>55.066900000000004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ref="F31" si="25">C31*(E31-D31)</f>
        <v>613.15199999999913</v>
      </c>
      <c r="G31" s="39">
        <f t="shared" ref="G31" si="26">D31*C31</f>
        <v>6366.0480000000007</v>
      </c>
      <c r="H31" s="222">
        <f t="shared" ref="H31" si="27">(E31-D31)/D31</f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3"/>
        <v>54.499200000000002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ref="F32" si="28">C32*(E32-D32)</f>
        <v>322.79999999999973</v>
      </c>
      <c r="G32" s="39">
        <f t="shared" ref="G32" si="29">D32*C32</f>
        <v>6334.8</v>
      </c>
      <c r="H32" s="222">
        <f t="shared" ref="H32" si="30">(E32-D32)/D32</f>
        <v>5.0956620572078004E-2</v>
      </c>
      <c r="I32" s="193" t="s">
        <v>962</v>
      </c>
      <c r="J32" s="39">
        <v>1927</v>
      </c>
      <c r="K32" s="39"/>
      <c r="L32" s="10"/>
      <c r="M32" s="10"/>
      <c r="P32" s="81">
        <v>0.95</v>
      </c>
      <c r="Q32" s="81">
        <f t="shared" si="3"/>
        <v>53.9315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ref="F33" si="31">C33*(E33-D33)</f>
        <v>-21.999999999999886</v>
      </c>
      <c r="G33" s="39">
        <f t="shared" ref="G33" si="32">D33*C33</f>
        <v>10574</v>
      </c>
      <c r="H33" s="222">
        <f t="shared" ref="H33" si="33">(E33-D33)/D33</f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3"/>
        <v>53.363799999999998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ref="F34" si="34">C34*(E34-D34)</f>
        <v>-116.85999999999979</v>
      </c>
      <c r="G34" s="39">
        <f t="shared" ref="G34" si="35">D34*C34</f>
        <v>10574.859999999999</v>
      </c>
      <c r="H34" s="222">
        <f t="shared" ref="H34" si="36">(E34-D34)/D34</f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3"/>
        <v>52.796100000000003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ref="F35" si="37">C35*(E35-D35)</f>
        <v>-354.85999999999933</v>
      </c>
      <c r="G35" s="39">
        <f t="shared" ref="G35" si="38">D35*C35</f>
        <v>10574.859999999999</v>
      </c>
      <c r="H35" s="222">
        <f t="shared" ref="H35" si="39">(E35-D35)/D35</f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3"/>
        <v>52.228400000000008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ref="F36" si="40">C36*(E36-D36)</f>
        <v>-128.00000000000011</v>
      </c>
      <c r="G36" s="39">
        <f t="shared" ref="G36" si="41">D36*C36</f>
        <v>10574</v>
      </c>
      <c r="H36" s="222">
        <f t="shared" ref="H36" si="42">(E36-D36)/D36</f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3"/>
        <v>51.660700000000006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ref="F37" si="43">C37*(E37-D37)</f>
        <v>-396.8599999999995</v>
      </c>
      <c r="G37" s="39">
        <f t="shared" ref="G37" si="44">D37*C37</f>
        <v>10574.859999999999</v>
      </c>
      <c r="H37" s="222">
        <f t="shared" ref="H37" si="45">(E37-D37)/D37</f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3"/>
        <v>51.093000000000004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ref="F38" si="46">C38*(E38-D38)</f>
        <v>-86.86000000000007</v>
      </c>
      <c r="G38" s="39">
        <f t="shared" ref="G38" si="47">D38*C38</f>
        <v>10574.859999999999</v>
      </c>
      <c r="H38" s="222">
        <f t="shared" ref="H38" si="48">(E38-D38)/D38</f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ref="F39" si="49">C39*(E39-D39)</f>
        <v>357.44399999999956</v>
      </c>
      <c r="G39" s="39">
        <f t="shared" ref="G39" si="50">D39*C39</f>
        <v>6200.5560000000005</v>
      </c>
      <c r="H39" s="222">
        <f t="shared" ref="H39" si="51">(E39-D39)/D39</f>
        <v>5.7647088422393016E-2</v>
      </c>
      <c r="I39" s="832" t="s">
        <v>1083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ref="F40" si="52">C40*(E40-D40)</f>
        <v>319.44000000000017</v>
      </c>
      <c r="G40" s="39">
        <f t="shared" ref="G40" si="53">D40*C40</f>
        <v>10524.56</v>
      </c>
      <c r="H40" s="222">
        <f t="shared" ref="H40" si="54">(E40-D40)/D40</f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ref="F41" si="55">C41*(E41-D41)</f>
        <v>544.36800000000005</v>
      </c>
      <c r="G41" s="39">
        <f t="shared" ref="G41" si="56">D41*C41</f>
        <v>6086.8319999999994</v>
      </c>
      <c r="H41" s="222">
        <f t="shared" ref="H41" si="57">(E41-D41)/D41</f>
        <v>8.9433715272575307E-2</v>
      </c>
      <c r="I41" s="832" t="s">
        <v>1096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ref="F42" si="58">C42*(E42-D42)</f>
        <v>488.76000000000062</v>
      </c>
      <c r="G42" s="39">
        <f t="shared" ref="G42" si="59">D42*C42</f>
        <v>10445.24</v>
      </c>
      <c r="H42" s="222">
        <f t="shared" ref="H42" si="60">(E42-D42)/D42</f>
        <v>4.6792606010010361E-2</v>
      </c>
      <c r="I42" s="832" t="s">
        <v>1100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ref="F43" si="61">C43*(E43-D43)</f>
        <v>138.27500000000015</v>
      </c>
      <c r="G43" s="39">
        <f t="shared" ref="G43" si="62">D43*C43</f>
        <v>13099.225</v>
      </c>
      <c r="H43" s="222">
        <f t="shared" ref="H43" si="63">(E43-D43)/D43</f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ref="F44" si="64">C44*(E44-D44)</f>
        <v>651.27500000000009</v>
      </c>
      <c r="G44" s="39">
        <f t="shared" ref="G44" si="65">D44*C44</f>
        <v>13021.224999999999</v>
      </c>
      <c r="H44" s="222">
        <f t="shared" ref="H44" si="66">(E44-D44)/D44</f>
        <v>5.001641550622158E-2</v>
      </c>
      <c r="I44" s="39"/>
      <c r="J44" s="39">
        <v>2256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ref="F45" si="67">C45*(E45-D45)</f>
        <v>496.71999999999912</v>
      </c>
      <c r="G45" s="39">
        <f t="shared" ref="G45" si="68">D45*C45</f>
        <v>10291.280000000001</v>
      </c>
      <c r="H45" s="222">
        <f t="shared" ref="H45" si="69">(E45-D45)/D45</f>
        <v>4.8266104896572543E-2</v>
      </c>
      <c r="I45" s="832" t="s">
        <v>1150</v>
      </c>
      <c r="J45" s="39">
        <v>2101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ref="F46" si="70">C46*(E46-D46)</f>
        <v>364.00000000000006</v>
      </c>
      <c r="G46" s="39">
        <f t="shared" ref="G46" si="71">D46*C46</f>
        <v>10292</v>
      </c>
      <c r="H46" s="222">
        <f t="shared" ref="H46" si="72">(E46-D46)/D46</f>
        <v>3.5367275553828223E-2</v>
      </c>
      <c r="I46" s="39"/>
      <c r="J46" s="39">
        <v>1969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ref="F47" si="73">C47*(E47-D47)</f>
        <v>577.20000000000027</v>
      </c>
      <c r="G47" s="39">
        <f t="shared" ref="G47:G48" si="74">D47*C47</f>
        <v>5858.4</v>
      </c>
      <c r="H47" s="222">
        <f t="shared" ref="H47" si="75">(E47-D47)/D47</f>
        <v>9.8525194592380225E-2</v>
      </c>
      <c r="I47" s="832" t="s">
        <v>1152</v>
      </c>
      <c r="J47" s="39">
        <v>2182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>
        <f t="shared" si="74"/>
        <v>0</v>
      </c>
      <c r="H48" s="10"/>
      <c r="I48" s="39"/>
      <c r="J48" s="39">
        <v>2369.96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/>
      <c r="B49" s="10"/>
      <c r="C49" s="10"/>
      <c r="D49" s="39"/>
      <c r="E49" s="39"/>
      <c r="F49" s="39"/>
      <c r="G49" s="10"/>
      <c r="H49" s="10"/>
      <c r="I49" s="39"/>
      <c r="J49" s="39"/>
      <c r="K49" s="39"/>
      <c r="L49" s="10"/>
      <c r="M49" s="10"/>
      <c r="R49" s="81"/>
      <c r="X49" s="134"/>
    </row>
    <row r="50" spans="1:24" x14ac:dyDescent="0.25">
      <c r="A50" s="10"/>
      <c r="B50" s="10"/>
      <c r="C50" s="10"/>
      <c r="D50" s="39"/>
      <c r="E50" s="39"/>
      <c r="F50" s="39"/>
      <c r="G50" s="10"/>
      <c r="H50" s="10"/>
      <c r="I50" s="39"/>
      <c r="J50" s="39"/>
      <c r="K50" s="39"/>
      <c r="L50" s="10"/>
      <c r="M50" s="10"/>
      <c r="R50" s="81"/>
      <c r="X50" s="134"/>
    </row>
    <row r="51" spans="1:24" x14ac:dyDescent="0.25">
      <c r="A51" s="10"/>
      <c r="B51" s="10"/>
      <c r="C51" s="10"/>
      <c r="D51" s="39"/>
      <c r="E51" s="39"/>
      <c r="F51" s="39"/>
      <c r="G51" s="10"/>
      <c r="H51" s="10"/>
      <c r="I51" s="39"/>
      <c r="J51" s="39"/>
      <c r="K51" s="39"/>
      <c r="L51" s="10"/>
      <c r="M51" s="10"/>
      <c r="R51" s="81"/>
      <c r="X51" s="134"/>
    </row>
    <row r="52" spans="1:24" x14ac:dyDescent="0.25">
      <c r="A52" s="10"/>
      <c r="B52" s="10"/>
      <c r="C52" s="10"/>
      <c r="D52" s="39"/>
      <c r="E52" s="39"/>
      <c r="F52" s="39"/>
      <c r="G52" s="10"/>
      <c r="H52" s="10"/>
      <c r="I52" s="39"/>
      <c r="J52" s="39"/>
      <c r="K52" s="39"/>
      <c r="L52" s="10"/>
      <c r="M52" s="10"/>
      <c r="R52" s="81"/>
      <c r="X52" s="134"/>
    </row>
    <row r="53" spans="1:24" x14ac:dyDescent="0.25">
      <c r="A53" s="10"/>
      <c r="B53" s="10"/>
      <c r="C53" s="10"/>
      <c r="D53" s="39"/>
      <c r="E53" s="39"/>
      <c r="F53" s="39"/>
      <c r="G53" s="10"/>
      <c r="H53" s="10"/>
      <c r="I53" s="39"/>
      <c r="J53" s="39"/>
      <c r="K53" s="39"/>
      <c r="L53" s="10"/>
      <c r="M53" s="10"/>
      <c r="R53" s="81"/>
      <c r="X53" s="134"/>
    </row>
    <row r="54" spans="1:24" x14ac:dyDescent="0.25">
      <c r="A54" s="10"/>
      <c r="B54" s="10"/>
      <c r="C54" s="10"/>
      <c r="D54" s="39"/>
      <c r="E54" s="39"/>
      <c r="F54" s="39"/>
      <c r="G54" s="10"/>
      <c r="H54" s="10"/>
      <c r="I54" s="39"/>
      <c r="J54" s="39"/>
      <c r="K54" s="39"/>
      <c r="L54" s="10"/>
      <c r="M54" s="10"/>
      <c r="R54" s="81"/>
      <c r="X54" s="134"/>
    </row>
    <row r="55" spans="1:24" x14ac:dyDescent="0.25">
      <c r="R55" s="81"/>
      <c r="X55" s="134"/>
    </row>
    <row r="56" spans="1:24" x14ac:dyDescent="0.25">
      <c r="O56" s="2"/>
      <c r="R56" s="81"/>
      <c r="X56" s="134"/>
    </row>
    <row r="57" spans="1:24" x14ac:dyDescent="0.25">
      <c r="L57" t="s">
        <v>65</v>
      </c>
      <c r="M57" s="39">
        <f>M98+K98-F98</f>
        <v>1604.5800000000017</v>
      </c>
      <c r="O57" s="2"/>
      <c r="R57" s="81"/>
      <c r="X57" s="134"/>
    </row>
    <row r="58" spans="1:24" x14ac:dyDescent="0.25">
      <c r="A58" s="252" t="s">
        <v>1</v>
      </c>
      <c r="B58" s="252" t="s">
        <v>2</v>
      </c>
      <c r="C58" s="252" t="s">
        <v>4</v>
      </c>
      <c r="D58" s="253" t="s">
        <v>5</v>
      </c>
      <c r="E58" s="253" t="s">
        <v>90</v>
      </c>
      <c r="F58" s="253" t="s">
        <v>60</v>
      </c>
      <c r="G58" s="252" t="s">
        <v>3</v>
      </c>
      <c r="H58" s="252" t="s">
        <v>6</v>
      </c>
      <c r="I58" s="253" t="s">
        <v>7</v>
      </c>
      <c r="J58" s="253" t="s">
        <v>89</v>
      </c>
      <c r="K58" s="253" t="s">
        <v>61</v>
      </c>
      <c r="L58" s="252" t="s">
        <v>77</v>
      </c>
      <c r="M58" s="252" t="s">
        <v>38</v>
      </c>
      <c r="O58" s="2"/>
      <c r="R58" s="81"/>
      <c r="X58" s="134"/>
    </row>
    <row r="59" spans="1:24" x14ac:dyDescent="0.25">
      <c r="A59" s="254" t="s">
        <v>173</v>
      </c>
      <c r="B59" s="255">
        <v>42376</v>
      </c>
      <c r="C59" s="250">
        <v>40</v>
      </c>
      <c r="D59" s="251">
        <v>50.5</v>
      </c>
      <c r="E59" s="251">
        <v>0</v>
      </c>
      <c r="F59" s="251">
        <f t="shared" ref="F59:F67" si="76">C59*D59+E59</f>
        <v>2020</v>
      </c>
      <c r="G59" s="250"/>
      <c r="H59" s="250"/>
      <c r="I59" s="251"/>
      <c r="J59" s="251"/>
      <c r="K59" s="251"/>
      <c r="L59" s="255">
        <v>42430</v>
      </c>
      <c r="M59" s="251">
        <v>15</v>
      </c>
      <c r="O59" s="2"/>
      <c r="R59" s="81"/>
      <c r="X59" s="134"/>
    </row>
    <row r="60" spans="1:24" x14ac:dyDescent="0.25">
      <c r="A60" s="257" t="s">
        <v>71</v>
      </c>
      <c r="B60" s="255">
        <v>42466</v>
      </c>
      <c r="C60" s="250">
        <v>40</v>
      </c>
      <c r="D60" s="251">
        <v>47.38</v>
      </c>
      <c r="E60" s="251">
        <v>0</v>
      </c>
      <c r="F60" s="251">
        <f t="shared" si="76"/>
        <v>1895.2</v>
      </c>
      <c r="G60" s="255">
        <v>42473</v>
      </c>
      <c r="H60" s="256">
        <v>40</v>
      </c>
      <c r="I60" s="251">
        <v>48.91</v>
      </c>
      <c r="J60" s="251">
        <v>0.04</v>
      </c>
      <c r="K60" s="251">
        <f t="shared" ref="K60:K66" si="77">I60*H60-J60</f>
        <v>1956.36</v>
      </c>
      <c r="L60" s="255">
        <v>42522</v>
      </c>
      <c r="M60" s="251">
        <v>30.4</v>
      </c>
      <c r="O60" s="2"/>
      <c r="R60" s="81"/>
      <c r="X60" s="134"/>
    </row>
    <row r="61" spans="1:24" x14ac:dyDescent="0.25">
      <c r="A61" s="250"/>
      <c r="B61" s="255">
        <v>42474</v>
      </c>
      <c r="C61" s="250">
        <v>40</v>
      </c>
      <c r="D61" s="251">
        <v>48.55</v>
      </c>
      <c r="E61" s="251">
        <v>0</v>
      </c>
      <c r="F61" s="251">
        <f t="shared" si="76"/>
        <v>1942</v>
      </c>
      <c r="G61" s="255">
        <v>42487</v>
      </c>
      <c r="H61" s="256">
        <v>40</v>
      </c>
      <c r="I61" s="251">
        <v>50.97</v>
      </c>
      <c r="J61" s="251">
        <v>0.04</v>
      </c>
      <c r="K61" s="251">
        <f t="shared" si="77"/>
        <v>2038.76</v>
      </c>
      <c r="L61" s="255">
        <v>42614</v>
      </c>
      <c r="M61" s="251">
        <v>41.8</v>
      </c>
      <c r="O61" s="2"/>
      <c r="X61" s="134"/>
    </row>
    <row r="62" spans="1:24" x14ac:dyDescent="0.25">
      <c r="A62" s="250"/>
      <c r="B62" s="255">
        <v>42489</v>
      </c>
      <c r="C62" s="250">
        <v>40</v>
      </c>
      <c r="D62" s="251">
        <v>50.01</v>
      </c>
      <c r="E62" s="251">
        <v>0</v>
      </c>
      <c r="F62" s="251">
        <f t="shared" si="76"/>
        <v>2000.3999999999999</v>
      </c>
      <c r="G62" s="255">
        <v>42514</v>
      </c>
      <c r="H62" s="392">
        <v>40</v>
      </c>
      <c r="I62" s="354">
        <v>49.29</v>
      </c>
      <c r="J62" s="354">
        <v>0.04</v>
      </c>
      <c r="K62" s="354">
        <f t="shared" si="77"/>
        <v>1971.56</v>
      </c>
      <c r="L62" s="250"/>
      <c r="M62" s="250"/>
      <c r="O62" s="2"/>
      <c r="X62" s="134"/>
    </row>
    <row r="63" spans="1:24" x14ac:dyDescent="0.25">
      <c r="A63" s="250"/>
      <c r="B63" s="255">
        <v>42503</v>
      </c>
      <c r="C63" s="250">
        <v>10</v>
      </c>
      <c r="D63" s="251">
        <v>48.2</v>
      </c>
      <c r="E63" s="251">
        <v>0</v>
      </c>
      <c r="F63" s="251">
        <f t="shared" si="76"/>
        <v>482</v>
      </c>
      <c r="G63" s="255">
        <v>42517</v>
      </c>
      <c r="H63" s="256">
        <v>20</v>
      </c>
      <c r="I63" s="251">
        <v>50.72</v>
      </c>
      <c r="J63" s="251">
        <v>0.02</v>
      </c>
      <c r="K63" s="354">
        <f t="shared" si="77"/>
        <v>1014.38</v>
      </c>
      <c r="L63" s="250"/>
      <c r="M63" s="250"/>
      <c r="O63" s="2"/>
      <c r="X63" s="134"/>
    </row>
    <row r="64" spans="1:24" x14ac:dyDescent="0.25">
      <c r="A64" s="250"/>
      <c r="B64" s="255">
        <v>42503</v>
      </c>
      <c r="C64" s="250">
        <v>20</v>
      </c>
      <c r="D64" s="251">
        <v>48.2</v>
      </c>
      <c r="E64" s="251">
        <v>0</v>
      </c>
      <c r="F64" s="251">
        <f t="shared" si="76"/>
        <v>964</v>
      </c>
      <c r="G64" s="255">
        <v>42527</v>
      </c>
      <c r="H64" s="256">
        <v>30</v>
      </c>
      <c r="I64" s="251">
        <v>50.59</v>
      </c>
      <c r="J64" s="251">
        <v>0.03</v>
      </c>
      <c r="K64" s="354">
        <f t="shared" si="77"/>
        <v>1517.67</v>
      </c>
      <c r="L64" s="250"/>
      <c r="M64" s="250"/>
      <c r="O64" s="2"/>
      <c r="X64" s="134"/>
    </row>
    <row r="65" spans="1:24" x14ac:dyDescent="0.25">
      <c r="A65" s="250"/>
      <c r="B65" s="255">
        <v>42524</v>
      </c>
      <c r="C65" s="250">
        <v>30</v>
      </c>
      <c r="D65" s="251">
        <v>50.01</v>
      </c>
      <c r="E65" s="251">
        <v>0</v>
      </c>
      <c r="F65" s="251">
        <f t="shared" si="76"/>
        <v>1500.3</v>
      </c>
      <c r="G65" s="255">
        <v>42587</v>
      </c>
      <c r="H65" s="256">
        <v>30</v>
      </c>
      <c r="I65" s="251">
        <v>48.68</v>
      </c>
      <c r="J65" s="251">
        <v>0.03</v>
      </c>
      <c r="K65" s="251">
        <f t="shared" si="77"/>
        <v>1460.3700000000001</v>
      </c>
      <c r="L65" s="250"/>
      <c r="M65" s="250"/>
      <c r="O65" s="2"/>
      <c r="X65" s="134"/>
    </row>
    <row r="66" spans="1:24" x14ac:dyDescent="0.25">
      <c r="A66" s="250"/>
      <c r="B66" s="255">
        <v>42531</v>
      </c>
      <c r="C66" s="250">
        <v>30</v>
      </c>
      <c r="D66" s="251">
        <v>48.51</v>
      </c>
      <c r="E66" s="251">
        <v>0</v>
      </c>
      <c r="F66" s="251">
        <f t="shared" si="76"/>
        <v>1455.3</v>
      </c>
      <c r="G66" s="255">
        <v>42611</v>
      </c>
      <c r="H66" s="256">
        <v>80</v>
      </c>
      <c r="I66" s="251">
        <v>49.71</v>
      </c>
      <c r="J66" s="251">
        <v>0.09</v>
      </c>
      <c r="K66" s="251">
        <f t="shared" si="77"/>
        <v>3976.71</v>
      </c>
      <c r="L66" s="250"/>
      <c r="M66" s="250"/>
      <c r="O66" s="2"/>
      <c r="X66" s="134"/>
    </row>
    <row r="67" spans="1:24" x14ac:dyDescent="0.25">
      <c r="A67" s="250"/>
      <c r="B67" s="255">
        <v>42566</v>
      </c>
      <c r="C67" s="250">
        <v>30</v>
      </c>
      <c r="D67" s="251">
        <v>47.58</v>
      </c>
      <c r="E67" s="251">
        <v>0</v>
      </c>
      <c r="F67" s="251">
        <f t="shared" si="76"/>
        <v>1427.3999999999999</v>
      </c>
      <c r="G67" s="250"/>
      <c r="H67" s="250"/>
      <c r="I67" s="251"/>
      <c r="J67" s="251"/>
      <c r="K67" s="251"/>
      <c r="L67" s="250"/>
      <c r="M67" s="250"/>
      <c r="O67" s="2"/>
      <c r="X67" s="134"/>
    </row>
    <row r="68" spans="1:24" x14ac:dyDescent="0.25">
      <c r="A68" s="250"/>
      <c r="B68" s="255">
        <v>42627</v>
      </c>
      <c r="C68" s="250">
        <v>40</v>
      </c>
      <c r="D68" s="251">
        <v>46.47</v>
      </c>
      <c r="E68" s="251">
        <v>0</v>
      </c>
      <c r="F68" s="251">
        <f>D68*C68+E68</f>
        <v>1858.8</v>
      </c>
      <c r="G68" s="255">
        <v>42670</v>
      </c>
      <c r="H68" s="256">
        <v>40</v>
      </c>
      <c r="I68" s="251">
        <v>46.48</v>
      </c>
      <c r="J68" s="251">
        <v>0.04</v>
      </c>
      <c r="K68" s="251">
        <f>I68*H68-J68</f>
        <v>1859.1599999999999</v>
      </c>
      <c r="L68" s="255">
        <v>42705</v>
      </c>
      <c r="M68" s="251">
        <v>15.2</v>
      </c>
      <c r="X68" s="134"/>
    </row>
    <row r="69" spans="1:24" x14ac:dyDescent="0.25">
      <c r="A69" s="250"/>
      <c r="B69" s="255">
        <v>42639</v>
      </c>
      <c r="C69" s="250">
        <v>40</v>
      </c>
      <c r="D69" s="251">
        <v>44.8</v>
      </c>
      <c r="E69" s="251">
        <v>0</v>
      </c>
      <c r="F69" s="251">
        <f>D69*C69+E69</f>
        <v>1792</v>
      </c>
      <c r="G69" s="255">
        <v>42683</v>
      </c>
      <c r="H69" s="256">
        <v>40</v>
      </c>
      <c r="I69" s="251">
        <v>46.58</v>
      </c>
      <c r="J69" s="251">
        <v>0.04</v>
      </c>
      <c r="K69" s="251">
        <f>I69*H69-J69</f>
        <v>1863.1599999999999</v>
      </c>
      <c r="L69" s="255"/>
      <c r="M69" s="251"/>
      <c r="X69" s="134"/>
    </row>
    <row r="70" spans="1:24" x14ac:dyDescent="0.25">
      <c r="A70" s="250"/>
      <c r="B70" s="255">
        <v>42678</v>
      </c>
      <c r="C70" s="250">
        <v>40</v>
      </c>
      <c r="D70" s="251">
        <v>44.95</v>
      </c>
      <c r="E70" s="251">
        <v>0</v>
      </c>
      <c r="F70" s="251">
        <f>D70*C70+E70</f>
        <v>1798</v>
      </c>
      <c r="G70" s="255">
        <v>42710</v>
      </c>
      <c r="H70" s="256">
        <v>40</v>
      </c>
      <c r="I70" s="251">
        <v>55.08</v>
      </c>
      <c r="J70" s="251">
        <v>0.05</v>
      </c>
      <c r="K70" s="251">
        <f>I70*H70-J70</f>
        <v>2203.1499999999996</v>
      </c>
      <c r="L70" s="255"/>
      <c r="M70" s="250"/>
    </row>
    <row r="71" spans="1:24" x14ac:dyDescent="0.25">
      <c r="A71" s="250"/>
      <c r="B71" s="255"/>
      <c r="C71" s="250"/>
      <c r="D71" s="251"/>
      <c r="E71" s="251"/>
      <c r="F71" s="251"/>
      <c r="G71" s="255"/>
      <c r="H71" s="392"/>
      <c r="I71" s="354"/>
      <c r="J71" s="354"/>
      <c r="K71" s="354"/>
      <c r="L71" s="250"/>
      <c r="M71" s="250"/>
    </row>
    <row r="72" spans="1:24" x14ac:dyDescent="0.25">
      <c r="A72" s="250"/>
      <c r="B72" s="434">
        <v>42718</v>
      </c>
      <c r="C72" s="7">
        <v>40</v>
      </c>
      <c r="D72" s="43">
        <v>54.28</v>
      </c>
      <c r="E72" s="43">
        <v>0</v>
      </c>
      <c r="F72" s="43">
        <f>C72*D72+E72</f>
        <v>2171.1999999999998</v>
      </c>
      <c r="G72" s="434">
        <v>42759</v>
      </c>
      <c r="H72" s="80">
        <v>40</v>
      </c>
      <c r="I72" s="43">
        <v>54.92</v>
      </c>
      <c r="J72" s="43">
        <v>0.05</v>
      </c>
      <c r="K72" s="43">
        <f>H72*I72-J72</f>
        <v>2196.75</v>
      </c>
      <c r="L72" s="250"/>
      <c r="M72" s="250"/>
    </row>
    <row r="73" spans="1:24" x14ac:dyDescent="0.25">
      <c r="A73" s="250"/>
      <c r="B73" s="434">
        <v>42733</v>
      </c>
      <c r="C73" s="7">
        <v>40</v>
      </c>
      <c r="D73" s="43">
        <v>54.58</v>
      </c>
      <c r="E73" s="43">
        <v>0</v>
      </c>
      <c r="F73" s="43">
        <f>C73*D73+E73</f>
        <v>2183.1999999999998</v>
      </c>
      <c r="G73" s="571">
        <v>42767</v>
      </c>
      <c r="H73" s="80">
        <v>40</v>
      </c>
      <c r="I73" s="43">
        <v>57.05</v>
      </c>
      <c r="J73" s="43">
        <v>0.05</v>
      </c>
      <c r="K73" s="43">
        <f>H73*I73-J73</f>
        <v>2281.9499999999998</v>
      </c>
      <c r="L73" s="250"/>
      <c r="M73" s="250"/>
    </row>
    <row r="74" spans="1:24" x14ac:dyDescent="0.25">
      <c r="A74" s="250"/>
      <c r="B74" s="434">
        <v>42740</v>
      </c>
      <c r="C74" s="7">
        <v>40</v>
      </c>
      <c r="D74" s="43">
        <v>54.9</v>
      </c>
      <c r="E74" s="43">
        <v>0</v>
      </c>
      <c r="F74" s="43">
        <f>C74*D74+E74</f>
        <v>2196</v>
      </c>
      <c r="G74" s="434">
        <v>42781</v>
      </c>
      <c r="H74" s="80">
        <v>40</v>
      </c>
      <c r="I74" s="43">
        <v>58.48</v>
      </c>
      <c r="J74" s="43">
        <v>0.05</v>
      </c>
      <c r="K74" s="43">
        <f>H74*I74-J74</f>
        <v>2339.1499999999996</v>
      </c>
      <c r="L74" s="250"/>
      <c r="M74" s="250"/>
    </row>
    <row r="75" spans="1:24" x14ac:dyDescent="0.25">
      <c r="A75" s="250"/>
      <c r="B75" s="255"/>
      <c r="C75" s="250"/>
      <c r="D75" s="251"/>
      <c r="E75" s="251"/>
      <c r="F75" s="251"/>
      <c r="G75" s="255"/>
      <c r="H75" s="256"/>
      <c r="I75" s="251"/>
      <c r="J75" s="251"/>
      <c r="K75" s="354"/>
      <c r="L75" s="250"/>
      <c r="M75" s="250"/>
    </row>
    <row r="76" spans="1:24" x14ac:dyDescent="0.25">
      <c r="A76" s="250"/>
      <c r="B76" s="434">
        <v>42767</v>
      </c>
      <c r="C76" s="7">
        <v>40</v>
      </c>
      <c r="D76" s="43">
        <v>56.68</v>
      </c>
      <c r="E76" s="43">
        <v>0</v>
      </c>
      <c r="F76" s="43">
        <f>C76*D76+E76</f>
        <v>2267.1999999999998</v>
      </c>
      <c r="G76" s="434">
        <v>42803</v>
      </c>
      <c r="H76" s="7">
        <v>40</v>
      </c>
      <c r="I76" s="43">
        <v>58.65</v>
      </c>
      <c r="J76" s="43">
        <v>0.05</v>
      </c>
      <c r="K76" s="43">
        <f>H76*I76-J76</f>
        <v>2345.9499999999998</v>
      </c>
      <c r="L76" s="72">
        <v>42795</v>
      </c>
      <c r="M76" s="43">
        <v>30.4</v>
      </c>
    </row>
    <row r="77" spans="1:24" x14ac:dyDescent="0.25">
      <c r="A77" s="250"/>
      <c r="B77" s="255"/>
      <c r="C77" s="250"/>
      <c r="D77" s="251"/>
      <c r="E77" s="251"/>
      <c r="F77" s="251"/>
      <c r="G77" s="255"/>
      <c r="H77" s="256"/>
      <c r="I77" s="251"/>
      <c r="J77" s="251"/>
      <c r="K77" s="354"/>
      <c r="L77" s="250"/>
      <c r="M77" s="250"/>
    </row>
    <row r="78" spans="1:24" x14ac:dyDescent="0.25">
      <c r="A78" s="250"/>
      <c r="B78" s="434">
        <v>42782</v>
      </c>
      <c r="C78" s="7">
        <v>40</v>
      </c>
      <c r="D78" s="43">
        <v>57.85</v>
      </c>
      <c r="E78" s="43">
        <v>0</v>
      </c>
      <c r="F78" s="43">
        <f t="shared" ref="F78:F83" si="78">C78*D78+E78</f>
        <v>2314</v>
      </c>
      <c r="G78" s="434">
        <v>42915</v>
      </c>
      <c r="H78" s="7">
        <v>80</v>
      </c>
      <c r="I78" s="43">
        <v>55.8</v>
      </c>
      <c r="J78" s="43">
        <v>0.1</v>
      </c>
      <c r="K78" s="43">
        <f>H78*I78-J78</f>
        <v>4463.8999999999996</v>
      </c>
      <c r="L78" s="72">
        <v>42888</v>
      </c>
      <c r="M78" s="43">
        <v>45.6</v>
      </c>
    </row>
    <row r="79" spans="1:24" x14ac:dyDescent="0.25">
      <c r="A79" s="250"/>
      <c r="B79" s="434">
        <v>42815</v>
      </c>
      <c r="C79" s="7">
        <v>40</v>
      </c>
      <c r="D79" s="43">
        <v>57.28</v>
      </c>
      <c r="E79" s="43">
        <v>0</v>
      </c>
      <c r="F79" s="43">
        <f t="shared" si="78"/>
        <v>2291.1999999999998</v>
      </c>
      <c r="G79" s="434">
        <v>42997</v>
      </c>
      <c r="H79" s="80">
        <v>80</v>
      </c>
      <c r="I79" s="43">
        <v>53.18</v>
      </c>
      <c r="J79" s="43">
        <v>0.1</v>
      </c>
      <c r="K79" s="43">
        <f>H79*I79-J79</f>
        <v>4254.2999999999993</v>
      </c>
      <c r="L79" s="1">
        <v>42979</v>
      </c>
      <c r="M79" s="43">
        <v>62.4</v>
      </c>
    </row>
    <row r="80" spans="1:24" x14ac:dyDescent="0.25">
      <c r="A80" s="250"/>
      <c r="B80" s="434">
        <v>42836</v>
      </c>
      <c r="C80" s="7">
        <v>40</v>
      </c>
      <c r="D80" s="43">
        <v>53.6</v>
      </c>
      <c r="E80" s="43">
        <v>0</v>
      </c>
      <c r="F80" s="43">
        <f t="shared" si="78"/>
        <v>2144</v>
      </c>
      <c r="G80" s="434">
        <v>43005</v>
      </c>
      <c r="H80" s="80">
        <v>40</v>
      </c>
      <c r="I80" s="43">
        <v>54.42</v>
      </c>
      <c r="J80" s="43">
        <v>0.05</v>
      </c>
      <c r="K80" s="43">
        <f>H80*I80-J80</f>
        <v>2176.75</v>
      </c>
      <c r="L80" s="72"/>
      <c r="M80" s="4"/>
    </row>
    <row r="81" spans="1:13" x14ac:dyDescent="0.25">
      <c r="A81" s="250"/>
      <c r="B81" s="434">
        <v>42886</v>
      </c>
      <c r="C81" s="7">
        <v>80</v>
      </c>
      <c r="D81" s="43">
        <v>50.88</v>
      </c>
      <c r="E81" s="43">
        <v>0</v>
      </c>
      <c r="F81" s="43">
        <f t="shared" si="78"/>
        <v>4070.4</v>
      </c>
      <c r="G81" s="434">
        <v>43006</v>
      </c>
      <c r="H81" s="726">
        <v>40</v>
      </c>
      <c r="I81" s="45">
        <v>54.3</v>
      </c>
      <c r="J81" s="45">
        <v>0.05</v>
      </c>
      <c r="K81" s="43">
        <f>H81*I81-J81</f>
        <v>2171.9499999999998</v>
      </c>
      <c r="L81" s="4"/>
      <c r="M81" s="4"/>
    </row>
    <row r="82" spans="1:13" x14ac:dyDescent="0.25">
      <c r="A82" s="250"/>
      <c r="B82" s="434">
        <v>42944</v>
      </c>
      <c r="C82" s="7">
        <v>40</v>
      </c>
      <c r="D82" s="43">
        <v>53.37</v>
      </c>
      <c r="E82" s="43">
        <v>-0.1</v>
      </c>
      <c r="F82" s="43">
        <f t="shared" si="78"/>
        <v>2134.6999999999998</v>
      </c>
      <c r="G82" s="434">
        <v>43007</v>
      </c>
      <c r="H82" s="80">
        <v>80</v>
      </c>
      <c r="I82" s="43">
        <v>54.85</v>
      </c>
      <c r="J82" s="43">
        <v>0.1</v>
      </c>
      <c r="K82" s="45">
        <f>H82*I82-J82</f>
        <v>4387.8999999999996</v>
      </c>
      <c r="L82" s="4"/>
      <c r="M82" s="4"/>
    </row>
    <row r="83" spans="1:13" x14ac:dyDescent="0.25">
      <c r="A83" s="250"/>
      <c r="B83" s="434">
        <v>42951</v>
      </c>
      <c r="C83" s="7">
        <v>80</v>
      </c>
      <c r="D83" s="43">
        <v>52.61</v>
      </c>
      <c r="E83" s="43">
        <v>0</v>
      </c>
      <c r="F83" s="43">
        <f t="shared" si="78"/>
        <v>4208.8</v>
      </c>
      <c r="G83" s="72"/>
      <c r="H83" s="176"/>
      <c r="I83" s="3"/>
      <c r="J83" s="3"/>
      <c r="K83" s="73"/>
      <c r="L83" s="4"/>
      <c r="M83" s="4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255"/>
      <c r="C85" s="250"/>
      <c r="D85" s="251"/>
      <c r="E85" s="251"/>
      <c r="F85" s="251"/>
      <c r="G85" s="255"/>
      <c r="H85" s="256"/>
      <c r="I85" s="251"/>
      <c r="J85" s="251"/>
      <c r="K85" s="354"/>
      <c r="L85" s="250"/>
      <c r="M85" s="250"/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255"/>
      <c r="C87" s="250"/>
      <c r="D87" s="251"/>
      <c r="E87" s="251"/>
      <c r="F87" s="251"/>
      <c r="G87" s="255"/>
      <c r="H87" s="256"/>
      <c r="I87" s="251"/>
      <c r="J87" s="251"/>
      <c r="K87" s="354"/>
      <c r="L87" s="250"/>
      <c r="M87" s="250"/>
    </row>
    <row r="88" spans="1:13" x14ac:dyDescent="0.25">
      <c r="A88" s="250"/>
      <c r="B88" s="255"/>
      <c r="C88" s="250"/>
      <c r="D88" s="251"/>
      <c r="E88" s="251"/>
      <c r="F88" s="251"/>
      <c r="G88" s="255"/>
      <c r="H88" s="256"/>
      <c r="I88" s="251"/>
      <c r="J88" s="251"/>
      <c r="K88" s="354"/>
      <c r="L88" s="250"/>
      <c r="M88" s="250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5"/>
      <c r="C90" s="250"/>
      <c r="D90" s="251"/>
      <c r="E90" s="251"/>
      <c r="F90" s="251"/>
      <c r="G90" s="255"/>
      <c r="H90" s="256"/>
      <c r="I90" s="251"/>
      <c r="J90" s="251"/>
      <c r="K90" s="354"/>
      <c r="L90" s="250"/>
      <c r="M90" s="250"/>
    </row>
    <row r="91" spans="1:13" x14ac:dyDescent="0.25">
      <c r="A91" s="250"/>
      <c r="B91" s="255"/>
      <c r="C91" s="250"/>
      <c r="D91" s="251"/>
      <c r="E91" s="251"/>
      <c r="F91" s="251"/>
      <c r="G91" s="255"/>
      <c r="H91" s="256"/>
      <c r="I91" s="251"/>
      <c r="J91" s="251"/>
      <c r="K91" s="354"/>
      <c r="L91" s="250"/>
      <c r="M91" s="250"/>
    </row>
    <row r="92" spans="1:13" x14ac:dyDescent="0.25">
      <c r="A92" s="250"/>
      <c r="B92" s="255"/>
      <c r="C92" s="250"/>
      <c r="D92" s="251"/>
      <c r="E92" s="251"/>
      <c r="F92" s="251"/>
      <c r="G92" s="255"/>
      <c r="H92" s="256"/>
      <c r="I92" s="251"/>
      <c r="J92" s="251"/>
      <c r="K92" s="354"/>
      <c r="L92" s="250"/>
      <c r="M92" s="250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0"/>
      <c r="C97" s="250"/>
      <c r="D97" s="251"/>
      <c r="E97" s="251"/>
      <c r="F97" s="251"/>
      <c r="G97" s="250"/>
      <c r="H97" s="256"/>
      <c r="I97" s="251"/>
      <c r="J97" s="251"/>
      <c r="K97" s="251"/>
      <c r="L97" s="250"/>
      <c r="M97" s="250"/>
    </row>
    <row r="98" spans="1:13" x14ac:dyDescent="0.25">
      <c r="A98" s="31" t="s">
        <v>81</v>
      </c>
      <c r="B98" s="14"/>
      <c r="C98" s="14">
        <f>SUM(C59:C97)</f>
        <v>880</v>
      </c>
      <c r="D98" s="18"/>
      <c r="E98" s="18"/>
      <c r="F98" s="18">
        <f>SUM(F59:F97)</f>
        <v>45116.1</v>
      </c>
      <c r="G98" s="14"/>
      <c r="H98" s="71">
        <f>SUM(H60:H97)</f>
        <v>880</v>
      </c>
      <c r="I98" s="18"/>
      <c r="J98" s="18"/>
      <c r="K98" s="18">
        <f>SUM(K60:K97)</f>
        <v>46479.88</v>
      </c>
      <c r="L98" s="18"/>
      <c r="M98" s="18">
        <f>SUM(M59:M97)</f>
        <v>240.79999999999998</v>
      </c>
    </row>
    <row r="99" spans="1:13" ht="15.75" thickBot="1" x14ac:dyDescent="0.3">
      <c r="A99" s="439" t="s">
        <v>193</v>
      </c>
      <c r="B99" s="440"/>
      <c r="C99" s="441">
        <f>SumByColor($A$19,C59:C97)</f>
        <v>480</v>
      </c>
      <c r="D99" s="441"/>
      <c r="E99" s="441"/>
      <c r="F99" s="442">
        <f>SumByColor($A$19,F59:F97)</f>
        <v>25980</v>
      </c>
      <c r="G99" s="441"/>
      <c r="H99" s="441">
        <f>SumByColor($A$19,H59:H97)</f>
        <v>480</v>
      </c>
      <c r="I99" s="441"/>
      <c r="J99" s="441"/>
      <c r="K99" s="442">
        <f>SumByColor($A$19,K59:K97)</f>
        <v>26619</v>
      </c>
      <c r="L99" s="441"/>
      <c r="M99" s="442">
        <f>SumByColor($A$19,M59:M97)</f>
        <v>138</v>
      </c>
    </row>
  </sheetData>
  <conditionalFormatting sqref="P17:P37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89">
      <iconSet iconSet="3Arrows">
        <cfvo type="percent" val="0"/>
        <cfvo type="num" val="0"/>
        <cfvo type="num" val="0"/>
      </iconSet>
    </cfRule>
  </conditionalFormatting>
  <conditionalFormatting sqref="Q8">
    <cfRule type="expression" dxfId="656" priority="63">
      <formula>Q8&gt;0</formula>
    </cfRule>
    <cfRule type="expression" dxfId="655" priority="64">
      <formula>Q8&lt;0</formula>
    </cfRule>
  </conditionalFormatting>
  <conditionalFormatting sqref="Q7">
    <cfRule type="expression" dxfId="654" priority="65">
      <formula>Q7&gt;0</formula>
    </cfRule>
    <cfRule type="expression" dxfId="653" priority="66">
      <formula>Q7&lt;0</formula>
    </cfRule>
  </conditionalFormatting>
  <conditionalFormatting sqref="M57">
    <cfRule type="expression" dxfId="652" priority="53">
      <formula>M57&gt;0</formula>
    </cfRule>
    <cfRule type="expression" dxfId="651" priority="54">
      <formula>M57&lt;0</formula>
    </cfRule>
  </conditionalFormatting>
  <conditionalFormatting sqref="M57">
    <cfRule type="expression" dxfId="650" priority="55">
      <formula>M57&gt;0</formula>
    </cfRule>
    <cfRule type="expression" dxfId="649" priority="56">
      <formula>M57&lt;0</formula>
    </cfRule>
  </conditionalFormatting>
  <conditionalFormatting sqref="F24:F48">
    <cfRule type="expression" dxfId="648" priority="41">
      <formula>F24&gt;0</formula>
    </cfRule>
    <cfRule type="expression" dxfId="647" priority="42">
      <formula>F24&lt;0</formula>
    </cfRule>
  </conditionalFormatting>
  <conditionalFormatting sqref="F24:F48">
    <cfRule type="expression" dxfId="646" priority="43">
      <formula>F24&gt;0</formula>
    </cfRule>
    <cfRule type="expression" dxfId="645" priority="44">
      <formula>F24&lt;0</formula>
    </cfRule>
  </conditionalFormatting>
  <conditionalFormatting sqref="H24:H47">
    <cfRule type="expression" dxfId="644" priority="39">
      <formula>H24&gt;0</formula>
    </cfRule>
    <cfRule type="expression" dxfId="643" priority="40">
      <formula>H24&lt;0</formula>
    </cfRule>
  </conditionalFormatting>
  <conditionalFormatting sqref="J27:J38">
    <cfRule type="expression" dxfId="642" priority="9">
      <formula>J27&gt;0</formula>
    </cfRule>
    <cfRule type="expression" dxfId="641" priority="10">
      <formula>J27&lt;0</formula>
    </cfRule>
  </conditionalFormatting>
  <conditionalFormatting sqref="J27:J38">
    <cfRule type="expression" dxfId="640" priority="11">
      <formula>J27&gt;0</formula>
    </cfRule>
    <cfRule type="expression" dxfId="639" priority="12">
      <formula>J27&lt;0</formula>
    </cfRule>
  </conditionalFormatting>
  <conditionalFormatting sqref="W1:W46">
    <cfRule type="dataBar" priority="8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38" priority="5">
      <formula>J39&gt;0</formula>
    </cfRule>
    <cfRule type="expression" dxfId="637" priority="6">
      <formula>J39&lt;0</formula>
    </cfRule>
  </conditionalFormatting>
  <conditionalFormatting sqref="J39">
    <cfRule type="expression" dxfId="636" priority="7">
      <formula>J39&gt;0</formula>
    </cfRule>
    <cfRule type="expression" dxfId="635" priority="8">
      <formula>J39&lt;0</formula>
    </cfRule>
  </conditionalFormatting>
  <conditionalFormatting sqref="J40:J54">
    <cfRule type="expression" dxfId="634" priority="1">
      <formula>J40&gt;0</formula>
    </cfRule>
    <cfRule type="expression" dxfId="633" priority="2">
      <formula>J40&lt;0</formula>
    </cfRule>
  </conditionalFormatting>
  <conditionalFormatting sqref="J40:J54">
    <cfRule type="expression" dxfId="632" priority="3">
      <formula>J40&gt;0</formula>
    </cfRule>
    <cfRule type="expression" dxfId="631" priority="4">
      <formula>J40&lt;0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231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48.29</v>
      </c>
      <c r="T3" s="118">
        <v>42568</v>
      </c>
      <c r="U3" t="s">
        <v>236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48.29</v>
      </c>
      <c r="R4" s="475">
        <v>2.4199999999999999E-2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208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207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51" t="s">
        <v>78</v>
      </c>
      <c r="Q39" s="851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53.119000000000007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52.636100000000006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52.153200000000005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51.670300000000005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51.187400000000004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50.704500000000003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50.221600000000002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49.738700000000001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49.255800000000001</v>
      </c>
      <c r="R48" s="81"/>
      <c r="T48" s="85" t="s">
        <v>104</v>
      </c>
      <c r="U48" s="86" t="s">
        <v>624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48.7729</v>
      </c>
      <c r="R49" s="81"/>
      <c r="T49" s="85" t="s">
        <v>105</v>
      </c>
      <c r="U49" s="86" t="s">
        <v>424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48.29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47.807099999999998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47.324199999999998</v>
      </c>
      <c r="R52" s="81"/>
      <c r="T52" s="85" t="s">
        <v>107</v>
      </c>
      <c r="U52" s="86" t="s">
        <v>625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46.841299999999997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46.358399999999996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45.875499999999995</v>
      </c>
      <c r="R55" s="81"/>
      <c r="T55" s="85" t="s">
        <v>108</v>
      </c>
      <c r="U55" s="86" t="s">
        <v>508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45.392599999999995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44.909700000000001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44.4268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43.943899999999999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43.460999999999999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230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30" priority="66">
      <formula>F22&gt;0</formula>
    </cfRule>
    <cfRule type="expression" dxfId="629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28" priority="53">
      <formula>F41&gt;0</formula>
    </cfRule>
    <cfRule type="expression" dxfId="627" priority="54">
      <formula>F41&lt;0</formula>
    </cfRule>
  </conditionalFormatting>
  <conditionalFormatting sqref="F41">
    <cfRule type="expression" dxfId="626" priority="57">
      <formula>F41&gt;0</formula>
    </cfRule>
    <cfRule type="expression" dxfId="625" priority="58">
      <formula>F41&lt;0</formula>
    </cfRule>
  </conditionalFormatting>
  <conditionalFormatting sqref="H41">
    <cfRule type="expression" dxfId="624" priority="35">
      <formula>H41&gt;0</formula>
    </cfRule>
    <cfRule type="expression" dxfId="623" priority="36">
      <formula>H41&lt;0</formula>
    </cfRule>
  </conditionalFormatting>
  <conditionalFormatting sqref="F89:F95">
    <cfRule type="expression" dxfId="622" priority="29">
      <formula>F89&gt;0</formula>
    </cfRule>
    <cfRule type="expression" dxfId="621" priority="30">
      <formula>F89&lt;0</formula>
    </cfRule>
  </conditionalFormatting>
  <conditionalFormatting sqref="F96:F110">
    <cfRule type="expression" dxfId="620" priority="25">
      <formula>F96&gt;0</formula>
    </cfRule>
    <cfRule type="expression" dxfId="619" priority="26">
      <formula>F96&lt;0</formula>
    </cfRule>
  </conditionalFormatting>
  <conditionalFormatting sqref="F96:F110">
    <cfRule type="expression" dxfId="618" priority="27">
      <formula>F96&gt;0</formula>
    </cfRule>
    <cfRule type="expression" dxfId="617" priority="28">
      <formula>F96&lt;0</formula>
    </cfRule>
  </conditionalFormatting>
  <conditionalFormatting sqref="H89:H100">
    <cfRule type="expression" dxfId="616" priority="23">
      <formula>H89&gt;0</formula>
    </cfRule>
    <cfRule type="expression" dxfId="615" priority="24">
      <formula>H89&lt;0</formula>
    </cfRule>
  </conditionalFormatting>
  <conditionalFormatting sqref="H101">
    <cfRule type="expression" dxfId="614" priority="21">
      <formula>H101&gt;0</formula>
    </cfRule>
    <cfRule type="expression" dxfId="613" priority="22">
      <formula>H101&lt;0</formula>
    </cfRule>
  </conditionalFormatting>
  <conditionalFormatting sqref="F111:F116">
    <cfRule type="expression" dxfId="612" priority="19">
      <formula>F111&gt;0</formula>
    </cfRule>
    <cfRule type="expression" dxfId="611" priority="20">
      <formula>F111&lt;0</formula>
    </cfRule>
  </conditionalFormatting>
  <conditionalFormatting sqref="H103:H116">
    <cfRule type="expression" dxfId="610" priority="17">
      <formula>H103&gt;0</formula>
    </cfRule>
    <cfRule type="expression" dxfId="609" priority="18">
      <formula>H103&lt;0</formula>
    </cfRule>
  </conditionalFormatting>
  <conditionalFormatting sqref="H102">
    <cfRule type="expression" dxfId="608" priority="15">
      <formula>H102&gt;0</formula>
    </cfRule>
    <cfRule type="expression" dxfId="607" priority="16">
      <formula>H102&lt;0</formula>
    </cfRule>
  </conditionalFormatting>
  <conditionalFormatting sqref="M42">
    <cfRule type="expression" dxfId="606" priority="13">
      <formula>M42&gt;0</formula>
    </cfRule>
    <cfRule type="expression" dxfId="605" priority="14">
      <formula>M42&lt;0</formula>
    </cfRule>
  </conditionalFormatting>
  <conditionalFormatting sqref="Q7">
    <cfRule type="expression" dxfId="604" priority="9">
      <formula>Q7&gt;0</formula>
    </cfRule>
    <cfRule type="expression" dxfId="603" priority="10">
      <formula>Q7&lt;0</formula>
    </cfRule>
  </conditionalFormatting>
  <conditionalFormatting sqref="Q8">
    <cfRule type="expression" dxfId="602" priority="7">
      <formula>Q8&gt;0</formula>
    </cfRule>
    <cfRule type="expression" dxfId="601" priority="8">
      <formula>Q8&lt;0</formula>
    </cfRule>
  </conditionalFormatting>
  <conditionalFormatting sqref="F117:F130 H117:H130">
    <cfRule type="expression" dxfId="600" priority="1">
      <formula>F117&gt;0</formula>
    </cfRule>
    <cfRule type="expression" dxfId="599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222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237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43.6</v>
      </c>
      <c r="T3" s="1" t="s">
        <v>238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43.6</v>
      </c>
      <c r="R4" s="493">
        <v>1.6799999999999999E-2</v>
      </c>
      <c r="T4" s="156">
        <v>42633</v>
      </c>
      <c r="U4" s="1" t="s">
        <v>270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324</v>
      </c>
      <c r="U6" t="s">
        <v>454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453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455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207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995</v>
      </c>
      <c r="Q12" s="1"/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503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47.960000000000008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47.524000000000008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47.088000000000008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46.652000000000001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46.216000000000001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45.78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45.344000000000001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44.908000000000001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44.472000000000001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44.036000000000001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43.6</v>
      </c>
      <c r="W39" s="134"/>
    </row>
    <row r="40" spans="1:23" x14ac:dyDescent="0.25">
      <c r="O40" s="81">
        <v>0.99</v>
      </c>
      <c r="P40" s="81">
        <f t="shared" si="0"/>
        <v>43.164000000000001</v>
      </c>
      <c r="W40" s="134"/>
    </row>
    <row r="41" spans="1:23" x14ac:dyDescent="0.25">
      <c r="O41" s="81">
        <v>0.98</v>
      </c>
      <c r="P41" s="81">
        <f t="shared" si="0"/>
        <v>42.728000000000002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42.292000000000002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41.856000000000002</v>
      </c>
      <c r="W43" s="134"/>
    </row>
    <row r="44" spans="1:23" x14ac:dyDescent="0.25">
      <c r="A44" s="687" t="s">
        <v>222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41.42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40.984000000000002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40.548000000000002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40.112000000000002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39.676000000000002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39.24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421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626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471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627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545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225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503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282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283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283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308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503</v>
      </c>
    </row>
    <row r="167" spans="1:10" x14ac:dyDescent="0.25">
      <c r="A167" t="s">
        <v>338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338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426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440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445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358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466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673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674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678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707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2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2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98" priority="84">
      <formula>F7&gt;0</formula>
    </cfRule>
    <cfRule type="expression" dxfId="597" priority="85">
      <formula>F7&lt;0</formula>
    </cfRule>
  </conditionalFormatting>
  <conditionalFormatting sqref="Q8">
    <cfRule type="expression" dxfId="596" priority="82">
      <formula>Q8&gt;0</formula>
    </cfRule>
    <cfRule type="expression" dxfId="595" priority="83">
      <formula>Q8&lt;0</formula>
    </cfRule>
  </conditionalFormatting>
  <conditionalFormatting sqref="F29:F36">
    <cfRule type="expression" dxfId="594" priority="62">
      <formula>F29&gt;0</formula>
    </cfRule>
    <cfRule type="expression" dxfId="593" priority="63">
      <formula>F29&lt;0</formula>
    </cfRule>
  </conditionalFormatting>
  <conditionalFormatting sqref="J32:J38">
    <cfRule type="expression" dxfId="592" priority="57">
      <formula>J32&gt;0</formula>
    </cfRule>
    <cfRule type="expression" dxfId="591" priority="58">
      <formula>J32&lt;0</formula>
    </cfRule>
  </conditionalFormatting>
  <conditionalFormatting sqref="M42">
    <cfRule type="expression" dxfId="590" priority="55">
      <formula>M42&gt;0</formula>
    </cfRule>
    <cfRule type="expression" dxfId="589" priority="56">
      <formula>M42&lt;0</formula>
    </cfRule>
  </conditionalFormatting>
  <conditionalFormatting sqref="F98:F134 H98:H134 H137:H142 F137:F142 F144:F153 H144:H153">
    <cfRule type="expression" dxfId="588" priority="53">
      <formula>F98&gt;0</formula>
    </cfRule>
    <cfRule type="expression" dxfId="587" priority="54">
      <formula>F98&lt;0</formula>
    </cfRule>
  </conditionalFormatting>
  <conditionalFormatting sqref="F90:F97">
    <cfRule type="expression" dxfId="586" priority="51">
      <formula>F90&gt;0</formula>
    </cfRule>
    <cfRule type="expression" dxfId="585" priority="52">
      <formula>F90&lt;0</formula>
    </cfRule>
  </conditionalFormatting>
  <conditionalFormatting sqref="H90:H97">
    <cfRule type="expression" dxfId="584" priority="49">
      <formula>H90&gt;0</formula>
    </cfRule>
    <cfRule type="expression" dxfId="583" priority="50">
      <formula>H90&lt;0</formula>
    </cfRule>
  </conditionalFormatting>
  <conditionalFormatting sqref="F135:F136 H135:H136">
    <cfRule type="expression" dxfId="582" priority="47">
      <formula>F135&gt;0</formula>
    </cfRule>
    <cfRule type="expression" dxfId="581" priority="48">
      <formula>F135&lt;0</formula>
    </cfRule>
  </conditionalFormatting>
  <conditionalFormatting sqref="H143 F143">
    <cfRule type="expression" dxfId="580" priority="45">
      <formula>F143&gt;0</formula>
    </cfRule>
    <cfRule type="expression" dxfId="579" priority="46">
      <formula>F143&lt;0</formula>
    </cfRule>
  </conditionalFormatting>
  <conditionalFormatting sqref="F154:F161">
    <cfRule type="expression" dxfId="578" priority="31">
      <formula>F154&gt;0</formula>
    </cfRule>
    <cfRule type="expression" dxfId="577" priority="32">
      <formula>F154&lt;0</formula>
    </cfRule>
  </conditionalFormatting>
  <conditionalFormatting sqref="H154:H161">
    <cfRule type="expression" dxfId="576" priority="29">
      <formula>H154&gt;0</formula>
    </cfRule>
    <cfRule type="expression" dxfId="575" priority="30">
      <formula>H154&lt;0</formula>
    </cfRule>
  </conditionalFormatting>
  <conditionalFormatting sqref="Q10">
    <cfRule type="expression" dxfId="574" priority="27">
      <formula>Q10&gt;0</formula>
    </cfRule>
    <cfRule type="expression" dxfId="573" priority="28">
      <formula>Q10&lt;0</formula>
    </cfRule>
  </conditionalFormatting>
  <conditionalFormatting sqref="F37:F38">
    <cfRule type="expression" dxfId="572" priority="25">
      <formula>F37&gt;0</formula>
    </cfRule>
    <cfRule type="expression" dxfId="571" priority="26">
      <formula>F37&lt;0</formula>
    </cfRule>
  </conditionalFormatting>
  <conditionalFormatting sqref="H37:H38">
    <cfRule type="expression" dxfId="570" priority="23">
      <formula>H37&gt;0</formula>
    </cfRule>
    <cfRule type="expression" dxfId="569" priority="24">
      <formula>H37&lt;0</formula>
    </cfRule>
  </conditionalFormatting>
  <conditionalFormatting sqref="F167">
    <cfRule type="expression" dxfId="568" priority="21">
      <formula>F167&gt;0</formula>
    </cfRule>
    <cfRule type="expression" dxfId="567" priority="22">
      <formula>F167&lt;0</formula>
    </cfRule>
  </conditionalFormatting>
  <conditionalFormatting sqref="F168:F179">
    <cfRule type="expression" dxfId="566" priority="19">
      <formula>F168&gt;0</formula>
    </cfRule>
    <cfRule type="expression" dxfId="565" priority="20">
      <formula>F168&lt;0</formula>
    </cfRule>
  </conditionalFormatting>
  <conditionalFormatting sqref="H167:H179">
    <cfRule type="expression" dxfId="564" priority="17">
      <formula>H167&gt;0</formula>
    </cfRule>
    <cfRule type="expression" dxfId="563" priority="18">
      <formula>H167&lt;0</formula>
    </cfRule>
  </conditionalFormatting>
  <conditionalFormatting sqref="J175:J197 J201">
    <cfRule type="expression" dxfId="562" priority="15">
      <formula>J175&gt;0</formula>
    </cfRule>
    <cfRule type="expression" dxfId="561" priority="16">
      <formula>J175&lt;0</formula>
    </cfRule>
  </conditionalFormatting>
  <conditionalFormatting sqref="F180:F197 F201">
    <cfRule type="expression" dxfId="560" priority="13">
      <formula>F180&gt;0</formula>
    </cfRule>
    <cfRule type="expression" dxfId="559" priority="14">
      <formula>F180&lt;0</formula>
    </cfRule>
  </conditionalFormatting>
  <conditionalFormatting sqref="H180:H197 H201">
    <cfRule type="expression" dxfId="558" priority="11">
      <formula>H180&gt;0</formula>
    </cfRule>
    <cfRule type="expression" dxfId="557" priority="12">
      <formula>H180&lt;0</formula>
    </cfRule>
  </conditionalFormatting>
  <conditionalFormatting sqref="I32:J35">
    <cfRule type="expression" dxfId="556" priority="9">
      <formula>I32&gt;0</formula>
    </cfRule>
    <cfRule type="expression" dxfId="555" priority="10">
      <formula>I32&lt;0</formula>
    </cfRule>
  </conditionalFormatting>
  <conditionalFormatting sqref="F198:F200">
    <cfRule type="expression" dxfId="554" priority="7">
      <formula>F198&gt;0</formula>
    </cfRule>
    <cfRule type="expression" dxfId="553" priority="8">
      <formula>F198&lt;0</formula>
    </cfRule>
  </conditionalFormatting>
  <conditionalFormatting sqref="H198:H200">
    <cfRule type="expression" dxfId="552" priority="5">
      <formula>H198&gt;0</formula>
    </cfRule>
    <cfRule type="expression" dxfId="551" priority="6">
      <formula>H198&lt;0</formula>
    </cfRule>
  </conditionalFormatting>
  <conditionalFormatting sqref="J198:J200">
    <cfRule type="expression" dxfId="550" priority="3">
      <formula>J198&gt;0</formula>
    </cfRule>
    <cfRule type="expression" dxfId="549" priority="4">
      <formula>J198&lt;0</formula>
    </cfRule>
  </conditionalFormatting>
  <conditionalFormatting sqref="F202:F211 H202:H211 J202:J211">
    <cfRule type="expression" dxfId="548" priority="1">
      <formula>F202&gt;0</formula>
    </cfRule>
    <cfRule type="expression" dxfId="547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340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77.760000000000005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77.760000000000005</v>
      </c>
      <c r="R4" s="493">
        <v>1.26E-2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208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207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946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973</v>
      </c>
      <c r="Q13">
        <f>Q4/5.25</f>
        <v>14.811428571428573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688</v>
      </c>
      <c r="Q15" s="679" t="s">
        <v>689</v>
      </c>
      <c r="R15" s="677" t="s">
        <v>682</v>
      </c>
      <c r="S15" s="677" t="s">
        <v>683</v>
      </c>
      <c r="T15" s="679" t="s">
        <v>685</v>
      </c>
      <c r="U15" s="679" t="s">
        <v>686</v>
      </c>
      <c r="V15" s="677" t="s">
        <v>684</v>
      </c>
      <c r="W15" s="678" t="s">
        <v>687</v>
      </c>
    </row>
    <row r="16" spans="1:23" x14ac:dyDescent="0.25">
      <c r="G16" s="29"/>
      <c r="H16" s="70"/>
      <c r="O16" s="680">
        <v>42963</v>
      </c>
      <c r="P16" s="676" t="s">
        <v>690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692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51" t="s">
        <v>78</v>
      </c>
      <c r="P40" s="851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85.536000000000016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84.758400000000009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83.980800000000016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83.20320000000001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82.425600000000003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81.64800000000001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80.870400000000004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80.092800000000011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79.315200000000004</v>
      </c>
      <c r="Q49" s="2"/>
      <c r="T49" s="91" t="s">
        <v>103</v>
      </c>
      <c r="U49" s="127" t="s">
        <v>479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78.537600000000012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77.760000000000005</v>
      </c>
      <c r="Q51" s="2"/>
      <c r="T51" s="91" t="s">
        <v>104</v>
      </c>
      <c r="U51" s="127" t="s">
        <v>628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76.982399999999998</v>
      </c>
      <c r="Q52" s="2"/>
      <c r="T52" s="91" t="s">
        <v>105</v>
      </c>
      <c r="U52" s="127" t="s">
        <v>629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76.204800000000006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75.427199999999999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74.649600000000007</v>
      </c>
      <c r="T55" s="91" t="s">
        <v>107</v>
      </c>
      <c r="U55" s="127" t="s">
        <v>630</v>
      </c>
    </row>
    <row r="56" spans="1:21" x14ac:dyDescent="0.25">
      <c r="O56" s="81">
        <v>0.95</v>
      </c>
      <c r="P56" s="81">
        <f t="shared" si="0"/>
        <v>73.872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73.094400000000007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72.316800000000015</v>
      </c>
      <c r="T58" s="91" t="s">
        <v>108</v>
      </c>
      <c r="U58" s="127" t="s">
        <v>546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71.539200000000008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70.761600000000001</v>
      </c>
    </row>
    <row r="61" spans="1:21" x14ac:dyDescent="0.25">
      <c r="A61" s="371" t="s">
        <v>340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69.984000000000009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448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448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473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46" priority="80">
      <formula>Q7&gt;0</formula>
    </cfRule>
    <cfRule type="expression" dxfId="545" priority="81">
      <formula>Q7&lt;0</formula>
    </cfRule>
  </conditionalFormatting>
  <conditionalFormatting sqref="Q8">
    <cfRule type="expression" dxfId="544" priority="78">
      <formula>Q8&gt;0</formula>
    </cfRule>
    <cfRule type="expression" dxfId="543" priority="79">
      <formula>Q8&lt;0</formula>
    </cfRule>
  </conditionalFormatting>
  <conditionalFormatting sqref="F29:F43">
    <cfRule type="expression" dxfId="542" priority="62">
      <formula>F29&gt;0</formula>
    </cfRule>
    <cfRule type="expression" dxfId="541" priority="63">
      <formula>F29&lt;0</formula>
    </cfRule>
  </conditionalFormatting>
  <conditionalFormatting sqref="H45 H47:H48 H50:H51 H53 H29:H43">
    <cfRule type="expression" dxfId="540" priority="60">
      <formula>H29&gt;0</formula>
    </cfRule>
    <cfRule type="expression" dxfId="539" priority="61">
      <formula>H29&lt;0</formula>
    </cfRule>
  </conditionalFormatting>
  <conditionalFormatting sqref="J35">
    <cfRule type="expression" dxfId="538" priority="56">
      <formula>J35&gt;0</formula>
    </cfRule>
    <cfRule type="expression" dxfId="537" priority="57">
      <formula>J35&lt;0</formula>
    </cfRule>
  </conditionalFormatting>
  <conditionalFormatting sqref="J36:J37">
    <cfRule type="expression" dxfId="536" priority="54">
      <formula>J36&gt;0</formula>
    </cfRule>
    <cfRule type="expression" dxfId="535" priority="55">
      <formula>J36&lt;0</formula>
    </cfRule>
  </conditionalFormatting>
  <conditionalFormatting sqref="J38:J45 J48 J51">
    <cfRule type="expression" dxfId="534" priority="52">
      <formula>J38&gt;0</formula>
    </cfRule>
    <cfRule type="expression" dxfId="533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32" priority="49">
      <formula>M59&gt;0</formula>
    </cfRule>
    <cfRule type="expression" dxfId="531" priority="50">
      <formula>M59&lt;0</formula>
    </cfRule>
  </conditionalFormatting>
  <conditionalFormatting sqref="Q10">
    <cfRule type="expression" dxfId="530" priority="47">
      <formula>Q10&gt;0</formula>
    </cfRule>
    <cfRule type="expression" dxfId="529" priority="48">
      <formula>Q10&lt;0</formula>
    </cfRule>
  </conditionalFormatting>
  <conditionalFormatting sqref="F84:F103">
    <cfRule type="expression" dxfId="528" priority="45">
      <formula>F84&gt;0</formula>
    </cfRule>
    <cfRule type="expression" dxfId="527" priority="46">
      <formula>F84&lt;0</formula>
    </cfRule>
  </conditionalFormatting>
  <conditionalFormatting sqref="H107 H84:H103">
    <cfRule type="expression" dxfId="526" priority="43">
      <formula>H84&gt;0</formula>
    </cfRule>
    <cfRule type="expression" dxfId="525" priority="44">
      <formula>H84&lt;0</formula>
    </cfRule>
  </conditionalFormatting>
  <conditionalFormatting sqref="J89">
    <cfRule type="expression" dxfId="524" priority="41">
      <formula>J89&gt;0</formula>
    </cfRule>
    <cfRule type="expression" dxfId="523" priority="42">
      <formula>J89&lt;0</formula>
    </cfRule>
  </conditionalFormatting>
  <conditionalFormatting sqref="J90:J95">
    <cfRule type="expression" dxfId="522" priority="39">
      <formula>J90&gt;0</formula>
    </cfRule>
    <cfRule type="expression" dxfId="521" priority="40">
      <formula>J90&lt;0</formula>
    </cfRule>
  </conditionalFormatting>
  <conditionalFormatting sqref="J96:J97">
    <cfRule type="expression" dxfId="520" priority="37">
      <formula>J96&gt;0</formula>
    </cfRule>
    <cfRule type="expression" dxfId="519" priority="38">
      <formula>J96&lt;0</formula>
    </cfRule>
  </conditionalFormatting>
  <conditionalFormatting sqref="J98:J104">
    <cfRule type="expression" dxfId="518" priority="35">
      <formula>J98&gt;0</formula>
    </cfRule>
    <cfRule type="expression" dxfId="517" priority="36">
      <formula>J98&lt;0</formula>
    </cfRule>
  </conditionalFormatting>
  <conditionalFormatting sqref="J25">
    <cfRule type="expression" dxfId="516" priority="31">
      <formula>J25&gt;0</formula>
    </cfRule>
    <cfRule type="expression" dxfId="515" priority="32">
      <formula>J25&lt;0</formula>
    </cfRule>
  </conditionalFormatting>
  <conditionalFormatting sqref="F105:F106">
    <cfRule type="expression" dxfId="514" priority="29">
      <formula>F105&gt;0</formula>
    </cfRule>
    <cfRule type="expression" dxfId="513" priority="30">
      <formula>F105&lt;0</formula>
    </cfRule>
  </conditionalFormatting>
  <conditionalFormatting sqref="H105:H106">
    <cfRule type="expression" dxfId="512" priority="27">
      <formula>H105&gt;0</formula>
    </cfRule>
    <cfRule type="expression" dxfId="511" priority="28">
      <formula>H105&lt;0</formula>
    </cfRule>
  </conditionalFormatting>
  <conditionalFormatting sqref="J105">
    <cfRule type="expression" dxfId="510" priority="25">
      <formula>J105&gt;0</formula>
    </cfRule>
    <cfRule type="expression" dxfId="509" priority="26">
      <formula>J105&lt;0</formula>
    </cfRule>
  </conditionalFormatting>
  <conditionalFormatting sqref="J106">
    <cfRule type="expression" dxfId="508" priority="23">
      <formula>J106&gt;0</formula>
    </cfRule>
    <cfRule type="expression" dxfId="507" priority="24">
      <formula>J106&lt;0</formula>
    </cfRule>
  </conditionalFormatting>
  <conditionalFormatting sqref="F24 F27:F28">
    <cfRule type="expression" dxfId="506" priority="21">
      <formula>F24&gt;0</formula>
    </cfRule>
    <cfRule type="expression" dxfId="505" priority="22">
      <formula>F24&lt;0</formula>
    </cfRule>
  </conditionalFormatting>
  <conditionalFormatting sqref="H24:H28">
    <cfRule type="expression" dxfId="504" priority="19">
      <formula>H24&gt;0</formula>
    </cfRule>
    <cfRule type="expression" dxfId="503" priority="20">
      <formula>H24&lt;0</formula>
    </cfRule>
  </conditionalFormatting>
  <conditionalFormatting sqref="J26:J34">
    <cfRule type="expression" dxfId="502" priority="17">
      <formula>J26&gt;0</formula>
    </cfRule>
    <cfRule type="expression" dxfId="501" priority="18">
      <formula>J26&lt;0</formula>
    </cfRule>
  </conditionalFormatting>
  <conditionalFormatting sqref="F113">
    <cfRule type="expression" dxfId="500" priority="15">
      <formula>F113&gt;0</formula>
    </cfRule>
    <cfRule type="expression" dxfId="499" priority="16">
      <formula>F113&lt;0</formula>
    </cfRule>
  </conditionalFormatting>
  <conditionalFormatting sqref="H113">
    <cfRule type="expression" dxfId="498" priority="13">
      <formula>H113&gt;0</formula>
    </cfRule>
    <cfRule type="expression" dxfId="497" priority="14">
      <formula>H113&lt;0</formula>
    </cfRule>
  </conditionalFormatting>
  <conditionalFormatting sqref="J109">
    <cfRule type="expression" dxfId="496" priority="11">
      <formula>J109&gt;0</formula>
    </cfRule>
    <cfRule type="expression" dxfId="495" priority="12">
      <formula>J109&lt;0</formula>
    </cfRule>
  </conditionalFormatting>
  <conditionalFormatting sqref="F108:F112">
    <cfRule type="expression" dxfId="494" priority="9">
      <formula>F108&gt;0</formula>
    </cfRule>
    <cfRule type="expression" dxfId="493" priority="10">
      <formula>F108&lt;0</formula>
    </cfRule>
  </conditionalFormatting>
  <conditionalFormatting sqref="H108:H112">
    <cfRule type="expression" dxfId="492" priority="7">
      <formula>H108&gt;0</formula>
    </cfRule>
    <cfRule type="expression" dxfId="491" priority="8">
      <formula>H108&lt;0</formula>
    </cfRule>
  </conditionalFormatting>
  <conditionalFormatting sqref="J110:J113">
    <cfRule type="expression" dxfId="490" priority="5">
      <formula>J110&gt;0</formula>
    </cfRule>
    <cfRule type="expression" dxfId="489" priority="6">
      <formula>J110&lt;0</formula>
    </cfRule>
  </conditionalFormatting>
  <conditionalFormatting sqref="F25:F26">
    <cfRule type="expression" dxfId="488" priority="3">
      <formula>F25&gt;0</formula>
    </cfRule>
    <cfRule type="expression" dxfId="487" priority="4">
      <formula>F25&lt;0</formula>
    </cfRule>
  </conditionalFormatting>
  <conditionalFormatting sqref="Q9">
    <cfRule type="expression" dxfId="486" priority="1">
      <formula>Q9&gt;0</formula>
    </cfRule>
    <cfRule type="expression" dxfId="485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3" si="1">H2*I2-J2</f>
        <v>3757.1099999999997</v>
      </c>
      <c r="L2" s="72">
        <v>43087</v>
      </c>
      <c r="M2" s="43">
        <v>115</v>
      </c>
      <c r="O2" s="11" t="s">
        <v>57</v>
      </c>
      <c r="Q2" s="70">
        <f>C23-H23</f>
        <v>280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1">
        <f>IF(Q2=0, Q4, (F23-K23-M23)/Q2)</f>
        <v>35.466428571428544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72">
        <v>43266</v>
      </c>
      <c r="M4" s="43">
        <v>115</v>
      </c>
      <c r="O4" s="11" t="s">
        <v>66</v>
      </c>
      <c r="Q4" s="192">
        <v>27.8399</v>
      </c>
      <c r="R4" s="223">
        <v>1.49E-2</v>
      </c>
      <c r="T4" s="1">
        <v>43096</v>
      </c>
      <c r="U4" t="s">
        <v>785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7795.1720000000005</v>
      </c>
      <c r="U5" t="s">
        <v>786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9930.5999999999931</v>
      </c>
      <c r="U6" t="s">
        <v>787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-2060.4079999999908</v>
      </c>
      <c r="R7">
        <v>280</v>
      </c>
      <c r="U7" t="s">
        <v>788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K23+M23-F23+Q2*Q4</f>
        <v>-2135.4279999999908</v>
      </c>
      <c r="U8" t="s">
        <v>789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2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208</v>
      </c>
      <c r="Q9" s="134">
        <f>IF(Q2=0, 0, Q8/Q6)</f>
        <v>-0.21503514389865591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1"/>
        <v>2757.94</v>
      </c>
      <c r="O10" s="11" t="s">
        <v>207</v>
      </c>
      <c r="P10" s="33"/>
      <c r="Q10" s="2">
        <f>M75</f>
        <v>75.019999999999982</v>
      </c>
      <c r="T10" s="1">
        <v>43103</v>
      </c>
      <c r="U10" t="s">
        <v>836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1"/>
        <v>2767.94</v>
      </c>
      <c r="O11" s="11" t="s">
        <v>176</v>
      </c>
      <c r="P11" s="33"/>
      <c r="Q11" s="134">
        <f>R11*4/Q4</f>
        <v>3.3046095711550691E-2</v>
      </c>
      <c r="R11">
        <f>0.23</f>
        <v>0.23</v>
      </c>
      <c r="U11" t="s">
        <v>837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19" si="3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1"/>
        <v>3081.56</v>
      </c>
      <c r="O12" s="11" t="s">
        <v>946</v>
      </c>
      <c r="Q12" s="1"/>
      <c r="T12" s="1">
        <v>43110</v>
      </c>
      <c r="U12" t="s">
        <v>865</v>
      </c>
    </row>
    <row r="13" spans="1:29" x14ac:dyDescent="0.25">
      <c r="B13" s="72">
        <v>43089</v>
      </c>
      <c r="C13" s="4">
        <v>60</v>
      </c>
      <c r="D13" s="3">
        <v>30.18</v>
      </c>
      <c r="E13" s="3">
        <v>0</v>
      </c>
      <c r="F13" s="3">
        <f t="shared" si="3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1"/>
        <v>2717.96</v>
      </c>
      <c r="O13" s="11" t="s">
        <v>973</v>
      </c>
      <c r="Q13">
        <f>Q4/2.67</f>
        <v>10.42692883895131</v>
      </c>
      <c r="T13" s="1">
        <v>43112</v>
      </c>
      <c r="U13" t="s">
        <v>861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3"/>
        <v>4500</v>
      </c>
      <c r="U14" t="s">
        <v>862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3"/>
        <v>2688</v>
      </c>
      <c r="U15" s="475" t="s">
        <v>864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3"/>
        <v>2961.6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3"/>
        <v>2660</v>
      </c>
      <c r="T17" s="1">
        <v>43120</v>
      </c>
      <c r="U17" t="s">
        <v>900</v>
      </c>
    </row>
    <row r="18" spans="1:21" ht="20.25" thickBot="1" x14ac:dyDescent="0.35">
      <c r="B18" s="72">
        <v>43223</v>
      </c>
      <c r="C18" s="7">
        <v>100</v>
      </c>
      <c r="D18" s="43">
        <v>26.75</v>
      </c>
      <c r="E18" s="43">
        <v>0</v>
      </c>
      <c r="F18" s="43">
        <f t="shared" si="3"/>
        <v>2675</v>
      </c>
      <c r="O18" s="236" t="s">
        <v>78</v>
      </c>
      <c r="P18" s="236"/>
    </row>
    <row r="19" spans="1:21" ht="15.75" thickTop="1" x14ac:dyDescent="0.25">
      <c r="B19" s="72">
        <v>43249</v>
      </c>
      <c r="C19" s="7">
        <v>120</v>
      </c>
      <c r="D19" s="43">
        <v>24.65</v>
      </c>
      <c r="E19" s="43">
        <v>0</v>
      </c>
      <c r="F19" s="43">
        <f t="shared" si="3"/>
        <v>2958</v>
      </c>
      <c r="O19" s="81">
        <v>1.1000000000000001</v>
      </c>
      <c r="P19" s="81">
        <f>O19*$Q$4</f>
        <v>30.623890000000003</v>
      </c>
      <c r="T19" s="1">
        <v>43125</v>
      </c>
      <c r="U19" t="s">
        <v>914</v>
      </c>
    </row>
    <row r="20" spans="1:21" x14ac:dyDescent="0.25">
      <c r="C20" s="4"/>
      <c r="D20" s="3"/>
      <c r="E20" s="3"/>
      <c r="F20" s="3"/>
      <c r="O20" s="81">
        <v>1.0900000000000001</v>
      </c>
      <c r="P20" s="81">
        <f t="shared" ref="P20:P39" si="4">O20*$Q$4</f>
        <v>30.345491000000003</v>
      </c>
      <c r="T20" s="1">
        <v>43126</v>
      </c>
      <c r="U20" t="s">
        <v>912</v>
      </c>
    </row>
    <row r="21" spans="1:21" x14ac:dyDescent="0.25">
      <c r="C21" s="4"/>
      <c r="D21" s="3"/>
      <c r="E21" s="3"/>
      <c r="F21" s="3"/>
      <c r="O21" s="81">
        <v>1.08</v>
      </c>
      <c r="P21" s="81">
        <f t="shared" si="4"/>
        <v>30.067092000000002</v>
      </c>
      <c r="U21" t="s">
        <v>913</v>
      </c>
    </row>
    <row r="22" spans="1:21" x14ac:dyDescent="0.25">
      <c r="O22" s="81">
        <v>1.07</v>
      </c>
      <c r="P22" s="81">
        <f t="shared" si="4"/>
        <v>29.788693000000002</v>
      </c>
    </row>
    <row r="23" spans="1:21" x14ac:dyDescent="0.25">
      <c r="A23" s="35" t="s">
        <v>81</v>
      </c>
      <c r="B23" s="36"/>
      <c r="C23" s="36">
        <f>SUM(C2:C22)</f>
        <v>1500</v>
      </c>
      <c r="D23" s="37"/>
      <c r="E23" s="37"/>
      <c r="F23" s="37">
        <f>SUM(F2:F22)</f>
        <v>44358.69999999999</v>
      </c>
      <c r="G23" s="36"/>
      <c r="H23" s="175">
        <f>SUM(H2:H22)</f>
        <v>1220</v>
      </c>
      <c r="I23" s="37"/>
      <c r="J23" s="37"/>
      <c r="K23" s="37">
        <f>SUM(K2:K22)</f>
        <v>34133.699999999997</v>
      </c>
      <c r="L23" s="37"/>
      <c r="M23" s="37">
        <f>SUM(M2:M22)</f>
        <v>294.39999999999998</v>
      </c>
      <c r="O23" s="81">
        <v>1.06</v>
      </c>
      <c r="P23" s="81">
        <f t="shared" si="4"/>
        <v>29.510294000000002</v>
      </c>
      <c r="T23" s="1">
        <v>43128</v>
      </c>
      <c r="U23" t="s">
        <v>915</v>
      </c>
    </row>
    <row r="24" spans="1:21" ht="15.75" thickBot="1" x14ac:dyDescent="0.3">
      <c r="A24" s="341" t="s">
        <v>193</v>
      </c>
      <c r="B24" s="342"/>
      <c r="C24" s="343">
        <f>SumByColor($A$24,C2:C22)</f>
        <v>1220</v>
      </c>
      <c r="D24" s="343"/>
      <c r="E24" s="343"/>
      <c r="F24" s="344">
        <f>SumByColor($A$24,F2:F23)</f>
        <v>33557</v>
      </c>
      <c r="G24" s="343"/>
      <c r="H24" s="343">
        <f>SumByColor($A$24,H2:H22)</f>
        <v>1220</v>
      </c>
      <c r="I24" s="343"/>
      <c r="J24" s="343"/>
      <c r="K24" s="344">
        <f>SumByColor($A$24,K2:K22)</f>
        <v>34135</v>
      </c>
      <c r="L24" s="343"/>
      <c r="M24" s="344">
        <f>SumByColor($A$24,M2:M22)</f>
        <v>294</v>
      </c>
      <c r="O24" s="81">
        <v>1.05</v>
      </c>
      <c r="P24" s="81">
        <f t="shared" si="4"/>
        <v>29.231895000000002</v>
      </c>
    </row>
    <row r="25" spans="1:21" x14ac:dyDescent="0.25">
      <c r="O25" s="81">
        <v>1.04</v>
      </c>
      <c r="P25" s="81">
        <f t="shared" si="4"/>
        <v>28.953496000000001</v>
      </c>
    </row>
    <row r="26" spans="1:21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186" t="s">
        <v>88</v>
      </c>
      <c r="I26" s="186" t="s">
        <v>154</v>
      </c>
      <c r="J26" s="186" t="s">
        <v>497</v>
      </c>
      <c r="K26" s="186" t="s">
        <v>150</v>
      </c>
      <c r="L26" s="186" t="s">
        <v>973</v>
      </c>
      <c r="O26" s="81">
        <v>1.03</v>
      </c>
      <c r="P26" s="81">
        <f t="shared" si="4"/>
        <v>28.675097000000001</v>
      </c>
    </row>
    <row r="27" spans="1:21" x14ac:dyDescent="0.25">
      <c r="B27" s="184">
        <v>42985</v>
      </c>
      <c r="C27" s="10">
        <v>50</v>
      </c>
      <c r="D27" s="39">
        <v>44.98</v>
      </c>
      <c r="E27" s="39">
        <v>44.76</v>
      </c>
      <c r="F27" s="39">
        <f t="shared" ref="F27:F41" si="5">C27*(E27-D27)</f>
        <v>-10.999999999999943</v>
      </c>
      <c r="G27" s="39">
        <f t="shared" ref="G27:G41" si="6">D27*C27</f>
        <v>2249</v>
      </c>
      <c r="H27" s="222">
        <f t="shared" ref="H27:H41" si="7">(E27-D27)/D27</f>
        <v>-4.891062694530878E-3</v>
      </c>
      <c r="I27" s="222"/>
      <c r="J27" s="222"/>
      <c r="K27" s="222"/>
      <c r="L27" s="222"/>
      <c r="O27" s="81">
        <v>1.02</v>
      </c>
      <c r="P27" s="81">
        <f t="shared" si="4"/>
        <v>28.396698000000001</v>
      </c>
    </row>
    <row r="28" spans="1:21" x14ac:dyDescent="0.25">
      <c r="B28" s="184">
        <v>42994</v>
      </c>
      <c r="C28" s="10">
        <v>110</v>
      </c>
      <c r="D28" s="39">
        <v>43.796399999999998</v>
      </c>
      <c r="E28" s="39">
        <v>43.2</v>
      </c>
      <c r="F28" s="39">
        <f t="shared" si="5"/>
        <v>-65.603999999999516</v>
      </c>
      <c r="G28" s="39">
        <f t="shared" si="6"/>
        <v>4817.6040000000003</v>
      </c>
      <c r="H28" s="222">
        <f t="shared" si="7"/>
        <v>-1.3617557607474486E-2</v>
      </c>
      <c r="I28" s="222"/>
      <c r="J28" s="222"/>
      <c r="K28" s="222"/>
      <c r="L28" s="222"/>
      <c r="O28" s="81">
        <v>1.01</v>
      </c>
      <c r="P28" s="81">
        <f t="shared" si="4"/>
        <v>28.118299</v>
      </c>
      <c r="T28" s="770">
        <v>43136</v>
      </c>
      <c r="U28" t="s">
        <v>863</v>
      </c>
    </row>
    <row r="29" spans="1:21" x14ac:dyDescent="0.25">
      <c r="B29" s="184">
        <v>42999</v>
      </c>
      <c r="C29" s="10">
        <v>110</v>
      </c>
      <c r="D29" s="39">
        <v>43.796399999999998</v>
      </c>
      <c r="E29" s="39">
        <v>41.48</v>
      </c>
      <c r="F29" s="39">
        <f t="shared" si="5"/>
        <v>-254.80400000000017</v>
      </c>
      <c r="G29" s="39">
        <f t="shared" si="6"/>
        <v>4817.6040000000003</v>
      </c>
      <c r="H29" s="222">
        <f t="shared" si="7"/>
        <v>-5.2890191887917763E-2</v>
      </c>
      <c r="I29" s="222"/>
      <c r="J29" s="222"/>
      <c r="K29" s="222"/>
      <c r="L29" s="222"/>
      <c r="O29" s="81">
        <v>1</v>
      </c>
      <c r="P29" s="81">
        <f t="shared" si="4"/>
        <v>27.8399</v>
      </c>
    </row>
    <row r="30" spans="1:21" x14ac:dyDescent="0.25">
      <c r="B30" s="184">
        <v>43028</v>
      </c>
      <c r="C30" s="10">
        <v>180</v>
      </c>
      <c r="D30" s="39">
        <v>42.494999999999997</v>
      </c>
      <c r="E30" s="39">
        <v>40.369999999999997</v>
      </c>
      <c r="F30" s="39">
        <f t="shared" si="5"/>
        <v>-382.5</v>
      </c>
      <c r="G30" s="39">
        <f t="shared" si="6"/>
        <v>7649.0999999999995</v>
      </c>
      <c r="H30" s="222">
        <f t="shared" si="7"/>
        <v>-5.0005883045064127E-2</v>
      </c>
      <c r="I30" s="222"/>
      <c r="J30" s="222"/>
      <c r="K30" s="222"/>
      <c r="L30" s="222"/>
      <c r="O30" s="81">
        <v>0.99</v>
      </c>
      <c r="P30" s="81">
        <f t="shared" si="4"/>
        <v>27.561501</v>
      </c>
      <c r="T30" s="1">
        <v>43175</v>
      </c>
      <c r="U30" t="s">
        <v>1118</v>
      </c>
    </row>
    <row r="31" spans="1:21" x14ac:dyDescent="0.25">
      <c r="B31" s="184">
        <v>43042</v>
      </c>
      <c r="C31" s="7">
        <v>280</v>
      </c>
      <c r="D31" s="43">
        <v>39.311100000000003</v>
      </c>
      <c r="E31" s="39">
        <v>30.77</v>
      </c>
      <c r="F31" s="39">
        <f t="shared" si="5"/>
        <v>-2391.5080000000012</v>
      </c>
      <c r="G31" s="39">
        <f t="shared" si="6"/>
        <v>11007.108</v>
      </c>
      <c r="H31" s="223">
        <f t="shared" si="7"/>
        <v>-0.21726942263126708</v>
      </c>
      <c r="I31" s="223"/>
      <c r="J31" s="223"/>
      <c r="K31" s="223"/>
      <c r="L31" s="223"/>
      <c r="O31" s="81">
        <v>0.98</v>
      </c>
      <c r="P31" s="81">
        <f t="shared" si="4"/>
        <v>27.283102</v>
      </c>
      <c r="T31" s="1">
        <v>43178</v>
      </c>
      <c r="U31" t="s">
        <v>961</v>
      </c>
    </row>
    <row r="32" spans="1:21" x14ac:dyDescent="0.25">
      <c r="B32" s="184">
        <v>43045</v>
      </c>
      <c r="C32" s="10">
        <v>500</v>
      </c>
      <c r="D32" s="39">
        <v>35.243400000000001</v>
      </c>
      <c r="E32" s="39">
        <v>30.82</v>
      </c>
      <c r="F32" s="39">
        <f t="shared" si="5"/>
        <v>-2211.7000000000003</v>
      </c>
      <c r="G32" s="39">
        <f t="shared" si="6"/>
        <v>17621.7</v>
      </c>
      <c r="H32" s="223">
        <f t="shared" si="7"/>
        <v>-0.12551002457197663</v>
      </c>
      <c r="I32" s="223"/>
      <c r="J32" s="223"/>
      <c r="K32" s="223"/>
      <c r="L32" s="223"/>
      <c r="O32" s="81">
        <v>0.97</v>
      </c>
      <c r="P32" s="81">
        <f t="shared" si="4"/>
        <v>27.004702999999999</v>
      </c>
    </row>
    <row r="33" spans="1:21" x14ac:dyDescent="0.25">
      <c r="B33" s="184">
        <v>43047</v>
      </c>
      <c r="C33" s="10">
        <v>380</v>
      </c>
      <c r="D33" s="39">
        <v>36.485799999999998</v>
      </c>
      <c r="E33" s="39">
        <v>31.31</v>
      </c>
      <c r="F33" s="39">
        <f t="shared" si="5"/>
        <v>-1966.8039999999996</v>
      </c>
      <c r="G33" s="39">
        <f t="shared" si="6"/>
        <v>13864.603999999999</v>
      </c>
      <c r="H33" s="223">
        <f t="shared" si="7"/>
        <v>-0.14185792828991003</v>
      </c>
      <c r="I33" s="223"/>
      <c r="J33" s="223"/>
      <c r="K33" s="223"/>
      <c r="L33" s="223"/>
      <c r="O33" s="81">
        <v>0.96</v>
      </c>
      <c r="P33" s="81">
        <f t="shared" si="4"/>
        <v>26.726303999999999</v>
      </c>
      <c r="T33" s="1">
        <v>43217</v>
      </c>
      <c r="U33" t="s">
        <v>1035</v>
      </c>
    </row>
    <row r="34" spans="1:21" x14ac:dyDescent="0.25">
      <c r="B34" s="184">
        <v>43048</v>
      </c>
      <c r="C34" s="10">
        <v>500</v>
      </c>
      <c r="D34" s="39">
        <v>35.020400000000002</v>
      </c>
      <c r="E34" s="39">
        <v>30.1</v>
      </c>
      <c r="F34" s="39">
        <f t="shared" si="5"/>
        <v>-2460.2000000000003</v>
      </c>
      <c r="G34" s="39">
        <f t="shared" si="6"/>
        <v>17510.2</v>
      </c>
      <c r="H34" s="223">
        <f t="shared" si="7"/>
        <v>-0.14050096515174015</v>
      </c>
      <c r="I34" s="39">
        <v>34.5</v>
      </c>
      <c r="J34" s="39"/>
      <c r="K34" s="39"/>
      <c r="L34" s="39"/>
      <c r="O34" s="81">
        <v>0.95</v>
      </c>
      <c r="P34" s="81">
        <f t="shared" si="4"/>
        <v>26.447904999999999</v>
      </c>
    </row>
    <row r="35" spans="1:21" x14ac:dyDescent="0.25">
      <c r="B35" s="184">
        <v>43052</v>
      </c>
      <c r="C35" s="10">
        <v>600</v>
      </c>
      <c r="D35" s="39">
        <v>33.913699999999999</v>
      </c>
      <c r="E35" s="39">
        <v>28.45</v>
      </c>
      <c r="F35" s="39">
        <f t="shared" si="5"/>
        <v>-3278.22</v>
      </c>
      <c r="G35" s="39">
        <f t="shared" si="6"/>
        <v>20348.219999999998</v>
      </c>
      <c r="H35" s="223">
        <f t="shared" si="7"/>
        <v>-0.16110598371749468</v>
      </c>
      <c r="I35" s="39">
        <v>33.5</v>
      </c>
      <c r="J35" s="39"/>
      <c r="K35" s="39"/>
      <c r="L35" s="39"/>
      <c r="O35" s="81">
        <v>0.94</v>
      </c>
      <c r="P35" s="81">
        <f t="shared" si="4"/>
        <v>26.169505999999998</v>
      </c>
      <c r="T35" s="1">
        <v>43224</v>
      </c>
      <c r="U35" t="s">
        <v>82</v>
      </c>
    </row>
    <row r="36" spans="1:21" x14ac:dyDescent="0.25">
      <c r="A36">
        <v>0</v>
      </c>
      <c r="B36" s="184">
        <v>43066</v>
      </c>
      <c r="C36" s="10">
        <v>500</v>
      </c>
      <c r="D36" s="39">
        <v>34.780500000000004</v>
      </c>
      <c r="E36" s="39">
        <v>29.79</v>
      </c>
      <c r="F36" s="39">
        <f t="shared" si="5"/>
        <v>-2495.2500000000023</v>
      </c>
      <c r="G36" s="39">
        <f t="shared" si="6"/>
        <v>17390.25</v>
      </c>
      <c r="H36" s="223">
        <f t="shared" si="7"/>
        <v>-0.14348557381291252</v>
      </c>
      <c r="I36" s="39">
        <v>34.5</v>
      </c>
      <c r="J36" s="39"/>
      <c r="K36" s="39"/>
      <c r="L36" s="39"/>
      <c r="O36" s="81">
        <v>0.93</v>
      </c>
      <c r="P36" s="81">
        <f t="shared" si="4"/>
        <v>25.891107000000002</v>
      </c>
    </row>
    <row r="37" spans="1:21" x14ac:dyDescent="0.25">
      <c r="B37" s="184">
        <v>43074</v>
      </c>
      <c r="C37" s="10">
        <v>440</v>
      </c>
      <c r="D37" s="39">
        <v>35.309699999999999</v>
      </c>
      <c r="E37" s="39">
        <v>31.78</v>
      </c>
      <c r="F37" s="39">
        <f t="shared" si="5"/>
        <v>-1553.0679999999993</v>
      </c>
      <c r="G37" s="39">
        <f t="shared" si="6"/>
        <v>15536.268</v>
      </c>
      <c r="H37" s="223">
        <f t="shared" si="7"/>
        <v>-9.9964032546297432E-2</v>
      </c>
      <c r="I37" s="39"/>
      <c r="J37" s="39"/>
      <c r="K37" s="39"/>
      <c r="L37" s="39"/>
      <c r="O37" s="81">
        <v>0.92</v>
      </c>
      <c r="P37" s="81">
        <f t="shared" si="4"/>
        <v>25.612708000000001</v>
      </c>
    </row>
    <row r="38" spans="1:21" x14ac:dyDescent="0.25">
      <c r="A38">
        <v>440</v>
      </c>
      <c r="B38" s="184">
        <v>43087</v>
      </c>
      <c r="C38" s="10">
        <v>440</v>
      </c>
      <c r="D38" s="39">
        <v>35.049999999999997</v>
      </c>
      <c r="E38" s="39">
        <v>30.7</v>
      </c>
      <c r="F38" s="39">
        <f t="shared" si="5"/>
        <v>-1913.9999999999991</v>
      </c>
      <c r="G38" s="39">
        <f t="shared" si="6"/>
        <v>15421.999999999998</v>
      </c>
      <c r="H38" s="223">
        <f t="shared" si="7"/>
        <v>-0.12410841654778883</v>
      </c>
      <c r="I38" s="39"/>
      <c r="J38" s="39"/>
      <c r="K38" s="39"/>
      <c r="L38" s="39"/>
      <c r="O38" s="81">
        <v>0.91</v>
      </c>
      <c r="P38" s="81">
        <f t="shared" si="4"/>
        <v>25.334309000000001</v>
      </c>
    </row>
    <row r="39" spans="1:21" x14ac:dyDescent="0.25">
      <c r="A39">
        <v>440</v>
      </c>
      <c r="B39" s="184">
        <v>43089</v>
      </c>
      <c r="C39" s="10">
        <v>500</v>
      </c>
      <c r="D39" s="39">
        <v>34.463999999999999</v>
      </c>
      <c r="E39" s="39">
        <v>30.21</v>
      </c>
      <c r="F39" s="39">
        <f t="shared" si="5"/>
        <v>-2126.9999999999991</v>
      </c>
      <c r="G39" s="39">
        <f t="shared" si="6"/>
        <v>17232</v>
      </c>
      <c r="H39" s="223">
        <f t="shared" si="7"/>
        <v>-0.12343314763231192</v>
      </c>
      <c r="I39" s="39" t="s">
        <v>779</v>
      </c>
      <c r="J39" s="39"/>
      <c r="K39" s="39"/>
      <c r="L39" s="39"/>
      <c r="O39" s="81">
        <v>0.9</v>
      </c>
      <c r="P39" s="81">
        <f t="shared" si="4"/>
        <v>25.055910000000001</v>
      </c>
      <c r="T39" s="156">
        <v>43314</v>
      </c>
      <c r="U39" t="s">
        <v>82</v>
      </c>
    </row>
    <row r="40" spans="1:21" x14ac:dyDescent="0.25">
      <c r="A40">
        <v>320</v>
      </c>
      <c r="B40" s="184">
        <v>43090</v>
      </c>
      <c r="C40" s="425">
        <v>380</v>
      </c>
      <c r="D40" s="426">
        <v>35.658999999999999</v>
      </c>
      <c r="E40" s="39">
        <v>30.68</v>
      </c>
      <c r="F40" s="39">
        <f t="shared" si="5"/>
        <v>-1892.0199999999998</v>
      </c>
      <c r="G40" s="39">
        <f t="shared" si="6"/>
        <v>13550.42</v>
      </c>
      <c r="H40" s="223">
        <f t="shared" si="7"/>
        <v>-0.13962814436748083</v>
      </c>
      <c r="I40" s="39"/>
      <c r="J40" s="39"/>
      <c r="K40" s="39"/>
      <c r="L40" s="39"/>
    </row>
    <row r="41" spans="1:21" x14ac:dyDescent="0.25">
      <c r="A41">
        <v>260</v>
      </c>
      <c r="B41" s="184">
        <v>43097</v>
      </c>
      <c r="C41" s="10">
        <v>320</v>
      </c>
      <c r="D41" s="39">
        <v>36.552</v>
      </c>
      <c r="E41" s="39">
        <v>30.9</v>
      </c>
      <c r="F41" s="39">
        <f t="shared" si="5"/>
        <v>-1808.6400000000003</v>
      </c>
      <c r="G41" s="39">
        <f t="shared" si="6"/>
        <v>11696.64</v>
      </c>
      <c r="H41" s="223">
        <f t="shared" si="7"/>
        <v>-0.15462902166776102</v>
      </c>
      <c r="I41" s="39"/>
      <c r="J41" s="39"/>
      <c r="K41" s="39"/>
      <c r="L41" s="39"/>
      <c r="O41" s="33"/>
      <c r="R41" s="33"/>
    </row>
    <row r="42" spans="1:21" x14ac:dyDescent="0.25">
      <c r="A42">
        <v>260</v>
      </c>
      <c r="B42" s="184">
        <v>43103</v>
      </c>
      <c r="C42" s="10">
        <v>320</v>
      </c>
      <c r="D42" s="39">
        <v>36.552</v>
      </c>
      <c r="E42" s="39">
        <v>31.83</v>
      </c>
      <c r="F42" s="39">
        <f t="shared" ref="F42" si="8">C42*(E42-D42)</f>
        <v>-1511.0400000000004</v>
      </c>
      <c r="G42" s="39">
        <f t="shared" ref="G42" si="9">D42*C42</f>
        <v>11696.64</v>
      </c>
      <c r="H42" s="223">
        <f t="shared" ref="H42" si="10">(E42-D42)/D42</f>
        <v>-0.1291858174655286</v>
      </c>
      <c r="I42" s="39"/>
      <c r="J42" s="39">
        <v>55.37</v>
      </c>
      <c r="K42" s="39"/>
      <c r="L42" s="39"/>
      <c r="Q42" s="33"/>
      <c r="R42" s="33"/>
    </row>
    <row r="43" spans="1:21" x14ac:dyDescent="0.25">
      <c r="A43">
        <v>260</v>
      </c>
      <c r="B43" s="184">
        <v>43110</v>
      </c>
      <c r="C43" s="10">
        <v>320</v>
      </c>
      <c r="D43" s="39">
        <v>36.552</v>
      </c>
      <c r="E43" s="39">
        <v>31.15</v>
      </c>
      <c r="F43" s="39">
        <f t="shared" ref="F43:F46" si="11">C43*(E43-D43)</f>
        <v>-1728.6400000000003</v>
      </c>
      <c r="G43" s="39">
        <f t="shared" ref="G43:G46" si="12">D43*C43</f>
        <v>11696.64</v>
      </c>
      <c r="H43" s="223">
        <f t="shared" ref="H43:H46" si="13">(E43-D43)/D43</f>
        <v>-0.14778945064565555</v>
      </c>
      <c r="I43" s="39"/>
      <c r="J43" s="39">
        <v>57.27</v>
      </c>
      <c r="K43" s="39"/>
      <c r="L43" s="39"/>
      <c r="Q43" s="33"/>
      <c r="R43" s="33"/>
    </row>
    <row r="44" spans="1:21" x14ac:dyDescent="0.25">
      <c r="A44">
        <v>320</v>
      </c>
      <c r="B44" s="184">
        <v>43125</v>
      </c>
      <c r="C44" s="10">
        <v>500</v>
      </c>
      <c r="D44" s="39">
        <v>32.3932</v>
      </c>
      <c r="E44" s="39">
        <v>24.81</v>
      </c>
      <c r="F44" s="39">
        <f t="shared" si="11"/>
        <v>-3791.6000000000008</v>
      </c>
      <c r="G44" s="39">
        <f t="shared" si="12"/>
        <v>16196.6</v>
      </c>
      <c r="H44" s="223">
        <f t="shared" si="13"/>
        <v>-0.23409851450304389</v>
      </c>
      <c r="I44" s="39"/>
      <c r="J44" s="39"/>
      <c r="K44" s="39"/>
      <c r="L44" s="39"/>
      <c r="Q44" s="33"/>
      <c r="R44" s="33"/>
    </row>
    <row r="45" spans="1:21" x14ac:dyDescent="0.25">
      <c r="A45">
        <v>140</v>
      </c>
      <c r="B45" s="184">
        <v>43126</v>
      </c>
      <c r="C45" s="10">
        <v>320</v>
      </c>
      <c r="D45" s="39">
        <v>36.340000000000003</v>
      </c>
      <c r="E45" s="39">
        <v>25.38</v>
      </c>
      <c r="F45" s="39">
        <f t="shared" si="11"/>
        <v>-3507.2000000000016</v>
      </c>
      <c r="G45" s="39">
        <f t="shared" si="12"/>
        <v>11628.800000000001</v>
      </c>
      <c r="H45" s="223">
        <f t="shared" si="13"/>
        <v>-0.30159603742432589</v>
      </c>
      <c r="I45" s="39"/>
      <c r="J45" s="39"/>
      <c r="K45" s="39"/>
      <c r="L45" s="39"/>
      <c r="Q45" s="33"/>
      <c r="R45" s="33"/>
    </row>
    <row r="46" spans="1:21" x14ac:dyDescent="0.25">
      <c r="A46">
        <v>100</v>
      </c>
      <c r="B46" s="184">
        <v>43126</v>
      </c>
      <c r="C46" s="7">
        <v>280</v>
      </c>
      <c r="D46" s="43">
        <v>37.770000000000003</v>
      </c>
      <c r="E46" s="39">
        <v>26.358000000000001</v>
      </c>
      <c r="F46" s="39">
        <f t="shared" si="11"/>
        <v>-3195.3600000000006</v>
      </c>
      <c r="G46" s="39">
        <f t="shared" si="12"/>
        <v>10575.6</v>
      </c>
      <c r="H46" s="223">
        <f t="shared" si="13"/>
        <v>-0.30214455917394761</v>
      </c>
      <c r="I46" s="39">
        <v>37</v>
      </c>
      <c r="J46" s="39"/>
      <c r="K46" s="39"/>
      <c r="L46" s="39"/>
      <c r="Q46" s="81"/>
      <c r="R46" s="33"/>
    </row>
    <row r="47" spans="1:21" x14ac:dyDescent="0.25">
      <c r="A47">
        <v>100</v>
      </c>
      <c r="B47" s="184">
        <v>43142</v>
      </c>
      <c r="C47" s="10">
        <v>280</v>
      </c>
      <c r="D47" s="39">
        <v>37.770000000000003</v>
      </c>
      <c r="E47" s="39">
        <v>27.61</v>
      </c>
      <c r="F47" s="39">
        <f t="shared" ref="F47" si="14">C47*(E47-D47)</f>
        <v>-2844.8000000000011</v>
      </c>
      <c r="G47" s="39">
        <f t="shared" ref="G47" si="15">D47*C47</f>
        <v>10575.6</v>
      </c>
      <c r="H47" s="223">
        <f t="shared" ref="H47" si="16">(E47-D47)/D47</f>
        <v>-0.26899655811490608</v>
      </c>
      <c r="I47" s="39"/>
      <c r="J47" s="39"/>
      <c r="K47" s="39"/>
      <c r="L47" s="39"/>
      <c r="Q47" s="81"/>
      <c r="R47" s="33"/>
    </row>
    <row r="48" spans="1:21" x14ac:dyDescent="0.25">
      <c r="A48">
        <v>280</v>
      </c>
      <c r="B48" s="184">
        <v>43143</v>
      </c>
      <c r="C48" s="10">
        <v>280</v>
      </c>
      <c r="D48" s="39">
        <v>37.770000000000003</v>
      </c>
      <c r="E48" s="39">
        <v>26.96</v>
      </c>
      <c r="F48" s="39">
        <f t="shared" ref="F48" si="17">C48*(E48-D48)</f>
        <v>-3026.8000000000006</v>
      </c>
      <c r="G48" s="39">
        <f t="shared" ref="G48" si="18">D48*C48</f>
        <v>10575.6</v>
      </c>
      <c r="H48" s="223">
        <f t="shared" ref="H48" si="19">(E48-D48)/D48</f>
        <v>-0.28620598358485572</v>
      </c>
      <c r="I48" s="39"/>
      <c r="J48" s="39"/>
      <c r="K48" s="39"/>
      <c r="L48" s="39"/>
      <c r="Q48" s="81"/>
      <c r="R48" s="33"/>
    </row>
    <row r="49" spans="1:18" x14ac:dyDescent="0.25">
      <c r="B49" s="184">
        <v>43172</v>
      </c>
      <c r="C49" s="10">
        <v>280</v>
      </c>
      <c r="D49" s="39">
        <v>37.770000000000003</v>
      </c>
      <c r="E49" s="39">
        <v>28.6</v>
      </c>
      <c r="F49" s="39">
        <f t="shared" ref="F49:F52" si="20">C49*(E49-D49)</f>
        <v>-2567.6000000000004</v>
      </c>
      <c r="G49" s="39">
        <f t="shared" ref="G49:G52" si="21">D49*C49</f>
        <v>10575.6</v>
      </c>
      <c r="H49" s="223">
        <f t="shared" ref="H49:H52" si="22">(E49-D49)/D49</f>
        <v>-0.24278527932221342</v>
      </c>
      <c r="I49" s="39"/>
      <c r="J49" s="39"/>
      <c r="K49" s="39">
        <v>-2491</v>
      </c>
      <c r="L49" s="39"/>
      <c r="Q49" s="81"/>
      <c r="R49" s="33"/>
    </row>
    <row r="50" spans="1:18" x14ac:dyDescent="0.25">
      <c r="B50" s="184">
        <v>43178</v>
      </c>
      <c r="C50" s="10">
        <v>380</v>
      </c>
      <c r="D50" s="39">
        <v>34.729999999999997</v>
      </c>
      <c r="E50" s="39">
        <v>26.79</v>
      </c>
      <c r="F50" s="39">
        <f t="shared" si="20"/>
        <v>-3017.1999999999989</v>
      </c>
      <c r="G50" s="39">
        <f t="shared" si="21"/>
        <v>13197.4</v>
      </c>
      <c r="H50" s="223">
        <f t="shared" si="22"/>
        <v>-0.22862078894327667</v>
      </c>
      <c r="I50" s="39"/>
      <c r="J50" s="39"/>
      <c r="K50" s="39"/>
      <c r="L50" s="39"/>
      <c r="Q50" s="81"/>
      <c r="R50" s="33"/>
    </row>
    <row r="51" spans="1:18" x14ac:dyDescent="0.25">
      <c r="B51" s="184">
        <v>43185</v>
      </c>
      <c r="C51" s="425">
        <v>380</v>
      </c>
      <c r="D51" s="426">
        <v>34.729999999999997</v>
      </c>
      <c r="E51" s="39">
        <v>26.06</v>
      </c>
      <c r="F51" s="39">
        <f t="shared" si="20"/>
        <v>-3294.5999999999995</v>
      </c>
      <c r="G51" s="39">
        <f t="shared" si="21"/>
        <v>13197.4</v>
      </c>
      <c r="H51" s="223">
        <f t="shared" si="22"/>
        <v>-0.24964008062194065</v>
      </c>
      <c r="I51" s="39"/>
      <c r="J51" s="39"/>
      <c r="K51" s="39">
        <v>-3220</v>
      </c>
      <c r="L51" s="39"/>
      <c r="Q51" s="81"/>
      <c r="R51" s="33"/>
    </row>
    <row r="52" spans="1:18" x14ac:dyDescent="0.25">
      <c r="A52">
        <v>280</v>
      </c>
      <c r="B52" s="184">
        <v>43186</v>
      </c>
      <c r="C52" s="10">
        <v>500</v>
      </c>
      <c r="D52" s="39">
        <v>32.32</v>
      </c>
      <c r="E52" s="39">
        <v>25.19</v>
      </c>
      <c r="F52" s="39">
        <f t="shared" si="20"/>
        <v>-3564.9999999999995</v>
      </c>
      <c r="G52" s="39">
        <f t="shared" si="21"/>
        <v>16160</v>
      </c>
      <c r="H52" s="223">
        <f t="shared" si="22"/>
        <v>-0.22060643564356433</v>
      </c>
      <c r="I52" s="39"/>
      <c r="J52" s="39"/>
      <c r="K52" s="39">
        <v>-3490</v>
      </c>
      <c r="L52" s="39"/>
      <c r="Q52" s="81"/>
      <c r="R52" s="33"/>
    </row>
    <row r="53" spans="1:18" x14ac:dyDescent="0.25">
      <c r="A53">
        <v>160</v>
      </c>
      <c r="B53" s="184">
        <v>43194</v>
      </c>
      <c r="C53" s="10">
        <v>380</v>
      </c>
      <c r="D53" s="39">
        <v>34.42</v>
      </c>
      <c r="E53" s="39">
        <v>25.67</v>
      </c>
      <c r="F53" s="39">
        <f t="shared" ref="F53" si="23">C53*(E53-D53)</f>
        <v>-3325</v>
      </c>
      <c r="G53" s="39">
        <f t="shared" ref="G53" si="24">D53*C53</f>
        <v>13079.6</v>
      </c>
      <c r="H53" s="223">
        <f t="shared" ref="H53" si="25">(E53-D53)/D53</f>
        <v>-0.25421266705403833</v>
      </c>
      <c r="I53" s="39"/>
      <c r="J53" s="39"/>
      <c r="K53" s="39">
        <v>-3248</v>
      </c>
      <c r="L53" s="39"/>
      <c r="Q53" s="81"/>
      <c r="R53" s="33"/>
    </row>
    <row r="54" spans="1:18" x14ac:dyDescent="0.25">
      <c r="A54">
        <v>260</v>
      </c>
      <c r="B54" s="184">
        <v>43216</v>
      </c>
      <c r="C54" s="10">
        <v>380</v>
      </c>
      <c r="D54" s="39">
        <v>34.42</v>
      </c>
      <c r="E54" s="39">
        <v>26.96</v>
      </c>
      <c r="F54" s="39">
        <f t="shared" ref="F54:F58" si="26">C54*(E54-D54)</f>
        <v>-2834.8</v>
      </c>
      <c r="G54" s="39">
        <f t="shared" ref="G54:G58" si="27">D54*C54</f>
        <v>13079.6</v>
      </c>
      <c r="H54" s="223">
        <f t="shared" ref="H54:H58" si="28">(E54-D54)/D54</f>
        <v>-0.21673445671121441</v>
      </c>
      <c r="I54" s="39"/>
      <c r="J54" s="39"/>
      <c r="K54" s="39">
        <v>-2758</v>
      </c>
      <c r="L54" s="39"/>
      <c r="Q54" s="81"/>
      <c r="R54" s="33"/>
    </row>
    <row r="55" spans="1:18" x14ac:dyDescent="0.25">
      <c r="A55">
        <v>280</v>
      </c>
      <c r="B55" s="184">
        <v>43217</v>
      </c>
      <c r="C55" s="7">
        <v>280</v>
      </c>
      <c r="D55" s="43">
        <v>36.86</v>
      </c>
      <c r="E55" s="39">
        <v>27.58</v>
      </c>
      <c r="F55" s="39">
        <f t="shared" si="26"/>
        <v>-2598.4000000000005</v>
      </c>
      <c r="G55" s="39">
        <f t="shared" si="27"/>
        <v>10320.799999999999</v>
      </c>
      <c r="H55" s="223">
        <f t="shared" si="28"/>
        <v>-0.25176342919153555</v>
      </c>
      <c r="I55" s="193" t="s">
        <v>1046</v>
      </c>
      <c r="J55" s="39"/>
      <c r="K55" s="39">
        <v>-2523</v>
      </c>
      <c r="L55" s="39"/>
      <c r="Q55" s="81"/>
    </row>
    <row r="56" spans="1:18" x14ac:dyDescent="0.25">
      <c r="A56">
        <v>280</v>
      </c>
      <c r="B56" s="184">
        <v>43221</v>
      </c>
      <c r="C56" s="425">
        <v>380</v>
      </c>
      <c r="D56" s="426">
        <v>34.158099999999997</v>
      </c>
      <c r="E56" s="39">
        <v>27.05</v>
      </c>
      <c r="F56" s="39">
        <f t="shared" si="26"/>
        <v>-2701.0779999999986</v>
      </c>
      <c r="G56" s="39">
        <f t="shared" si="27"/>
        <v>12980.078</v>
      </c>
      <c r="H56" s="223">
        <f t="shared" si="28"/>
        <v>-0.20809412701526131</v>
      </c>
      <c r="I56" s="193">
        <v>34</v>
      </c>
      <c r="J56" s="39"/>
      <c r="K56" s="39">
        <v>-2626</v>
      </c>
      <c r="L56" s="193"/>
      <c r="Q56" s="81"/>
    </row>
    <row r="57" spans="1:18" x14ac:dyDescent="0.25">
      <c r="A57">
        <v>180</v>
      </c>
      <c r="B57" s="184">
        <v>43222</v>
      </c>
      <c r="C57" s="7">
        <v>280</v>
      </c>
      <c r="D57" s="43">
        <v>36.472000000000001</v>
      </c>
      <c r="E57" s="39">
        <v>26.85</v>
      </c>
      <c r="F57" s="39">
        <f t="shared" si="26"/>
        <v>-2694.16</v>
      </c>
      <c r="G57" s="39">
        <f t="shared" si="27"/>
        <v>10212.16</v>
      </c>
      <c r="H57" s="223">
        <f t="shared" si="28"/>
        <v>-0.26381881991664835</v>
      </c>
      <c r="I57" s="193">
        <v>36</v>
      </c>
      <c r="J57" s="39"/>
      <c r="K57" s="39">
        <v>-2619</v>
      </c>
      <c r="L57" s="193"/>
      <c r="Q57" s="81"/>
    </row>
    <row r="58" spans="1:18" x14ac:dyDescent="0.25">
      <c r="A58">
        <v>180</v>
      </c>
      <c r="B58" s="184">
        <v>43223</v>
      </c>
      <c r="C58" s="425">
        <v>380</v>
      </c>
      <c r="D58" s="426">
        <v>33.9133</v>
      </c>
      <c r="E58" s="39">
        <v>26.69</v>
      </c>
      <c r="F58" s="39">
        <f t="shared" si="26"/>
        <v>-2744.8539999999994</v>
      </c>
      <c r="G58" s="39">
        <f t="shared" si="27"/>
        <v>12887.054</v>
      </c>
      <c r="H58" s="223">
        <f t="shared" si="28"/>
        <v>-0.21299313248784396</v>
      </c>
      <c r="I58" s="39"/>
      <c r="J58" s="39"/>
      <c r="K58" s="39">
        <v>-2670</v>
      </c>
      <c r="L58" s="193"/>
      <c r="Q58" s="81"/>
    </row>
    <row r="59" spans="1:18" x14ac:dyDescent="0.25">
      <c r="A59">
        <v>180</v>
      </c>
      <c r="B59" s="184">
        <v>43241</v>
      </c>
      <c r="C59" s="425">
        <v>380</v>
      </c>
      <c r="D59" s="426">
        <v>33.9133</v>
      </c>
      <c r="E59" s="39">
        <v>26.39</v>
      </c>
      <c r="F59" s="39">
        <f t="shared" ref="F59:F60" si="29">C59*(E59-D59)</f>
        <v>-2858.8539999999998</v>
      </c>
      <c r="G59" s="39">
        <f t="shared" ref="G59:G60" si="30">D59*C59</f>
        <v>12887.054</v>
      </c>
      <c r="H59" s="223">
        <f t="shared" ref="H59:H60" si="31">(E59-D59)/D59</f>
        <v>-0.22183921942128895</v>
      </c>
      <c r="I59" s="39"/>
      <c r="J59" s="39"/>
      <c r="K59" s="39">
        <v>-2669</v>
      </c>
      <c r="L59" s="193">
        <v>9.8800000000000008</v>
      </c>
      <c r="Q59" s="81"/>
    </row>
    <row r="60" spans="1:18" x14ac:dyDescent="0.25">
      <c r="A60">
        <v>180</v>
      </c>
      <c r="B60" s="184">
        <v>43249</v>
      </c>
      <c r="C60" s="10">
        <v>500</v>
      </c>
      <c r="D60" s="39">
        <v>31.690200000000001</v>
      </c>
      <c r="E60" s="39">
        <v>24.83</v>
      </c>
      <c r="F60" s="39">
        <f t="shared" si="29"/>
        <v>-3430.1000000000013</v>
      </c>
      <c r="G60" s="39">
        <f t="shared" si="30"/>
        <v>15845.1</v>
      </c>
      <c r="H60" s="223">
        <f t="shared" si="31"/>
        <v>-0.21647701813178846</v>
      </c>
      <c r="I60" s="39"/>
      <c r="J60" s="39"/>
      <c r="K60" s="39">
        <v>-3355</v>
      </c>
      <c r="L60" s="193">
        <v>9.3000000000000007</v>
      </c>
      <c r="Q60" s="81"/>
    </row>
    <row r="61" spans="1:18" x14ac:dyDescent="0.25">
      <c r="A61">
        <v>380</v>
      </c>
      <c r="B61" s="184">
        <v>43254</v>
      </c>
      <c r="C61" s="10">
        <v>500</v>
      </c>
      <c r="D61" s="39">
        <v>31.690200000000001</v>
      </c>
      <c r="E61" s="39">
        <v>23.12</v>
      </c>
      <c r="F61" s="39">
        <f t="shared" ref="F61:F65" si="32">C61*(E61-D61)</f>
        <v>-4285.1000000000004</v>
      </c>
      <c r="G61" s="39">
        <f t="shared" ref="G61:G65" si="33">D61*C61</f>
        <v>15845.1</v>
      </c>
      <c r="H61" s="223">
        <f t="shared" ref="H61:H65" si="34">(E61-D61)/D61</f>
        <v>-0.27043691740664305</v>
      </c>
      <c r="I61" s="39"/>
      <c r="J61" s="39"/>
      <c r="K61" s="39">
        <v>-4210</v>
      </c>
      <c r="L61" s="193">
        <v>8.66</v>
      </c>
      <c r="Q61" s="81"/>
    </row>
    <row r="62" spans="1:18" x14ac:dyDescent="0.25">
      <c r="A62">
        <v>260</v>
      </c>
      <c r="B62" s="184">
        <v>43262</v>
      </c>
      <c r="C62" s="425">
        <v>380</v>
      </c>
      <c r="D62" s="426">
        <v>33.588299999999997</v>
      </c>
      <c r="E62" s="39">
        <v>25.59</v>
      </c>
      <c r="F62" s="39">
        <f t="shared" si="32"/>
        <v>-3039.3539999999989</v>
      </c>
      <c r="G62" s="39">
        <f t="shared" si="33"/>
        <v>12763.553999999998</v>
      </c>
      <c r="H62" s="223">
        <f t="shared" si="34"/>
        <v>-0.23812756227614967</v>
      </c>
      <c r="I62" s="39"/>
      <c r="J62" s="39"/>
      <c r="K62" s="39">
        <v>-2964</v>
      </c>
      <c r="L62" s="193">
        <v>9.58</v>
      </c>
      <c r="Q62" s="81"/>
    </row>
    <row r="63" spans="1:18" x14ac:dyDescent="0.25">
      <c r="A63">
        <v>260</v>
      </c>
      <c r="B63" s="184">
        <v>43266</v>
      </c>
      <c r="C63" s="425">
        <v>380</v>
      </c>
      <c r="D63" s="426">
        <v>33.285699999999999</v>
      </c>
      <c r="E63" s="39">
        <v>26.05</v>
      </c>
      <c r="F63" s="39">
        <f t="shared" si="32"/>
        <v>-2749.5659999999993</v>
      </c>
      <c r="G63" s="39">
        <f t="shared" si="33"/>
        <v>12648.565999999999</v>
      </c>
      <c r="H63" s="223">
        <f t="shared" si="34"/>
        <v>-0.21738163836121813</v>
      </c>
      <c r="I63" s="39"/>
      <c r="J63" s="39"/>
      <c r="K63" s="39">
        <v>-2675</v>
      </c>
      <c r="L63" s="193"/>
      <c r="Q63" s="81"/>
    </row>
    <row r="64" spans="1:18" x14ac:dyDescent="0.25">
      <c r="A64">
        <v>280</v>
      </c>
      <c r="B64" s="184">
        <v>43286</v>
      </c>
      <c r="C64" s="7">
        <v>280</v>
      </c>
      <c r="D64" s="43">
        <v>35.47</v>
      </c>
      <c r="E64" s="39">
        <v>27.15</v>
      </c>
      <c r="F64" s="39">
        <f t="shared" si="32"/>
        <v>-2329.6</v>
      </c>
      <c r="G64" s="39">
        <f t="shared" si="33"/>
        <v>9931.6</v>
      </c>
      <c r="H64" s="223">
        <f t="shared" si="34"/>
        <v>-0.23456442063715818</v>
      </c>
      <c r="I64" s="39" t="s">
        <v>1178</v>
      </c>
      <c r="J64" s="39"/>
      <c r="K64" s="39">
        <v>-2254</v>
      </c>
      <c r="L64" s="193">
        <v>10.17</v>
      </c>
      <c r="O64" s="33"/>
    </row>
    <row r="65" spans="1:15" x14ac:dyDescent="0.25">
      <c r="A65">
        <v>280</v>
      </c>
      <c r="B65" s="184">
        <v>43288</v>
      </c>
      <c r="C65" s="10">
        <v>280</v>
      </c>
      <c r="D65" s="39">
        <v>35.47</v>
      </c>
      <c r="E65" s="39">
        <v>27.42</v>
      </c>
      <c r="F65" s="39">
        <f t="shared" si="32"/>
        <v>-2253.9999999999991</v>
      </c>
      <c r="G65" s="39">
        <f t="shared" si="33"/>
        <v>9931.6</v>
      </c>
      <c r="H65" s="223">
        <f t="shared" si="34"/>
        <v>-0.226952354102058</v>
      </c>
      <c r="I65" s="39"/>
      <c r="J65" s="39"/>
      <c r="K65" s="39">
        <v>-2254</v>
      </c>
      <c r="L65" s="193">
        <v>10.27</v>
      </c>
    </row>
    <row r="66" spans="1:15" x14ac:dyDescent="0.25">
      <c r="B66" s="184"/>
      <c r="C66" s="10"/>
      <c r="D66" s="39"/>
      <c r="E66" s="39"/>
      <c r="F66" s="39"/>
      <c r="G66" s="39"/>
      <c r="H66" s="223"/>
      <c r="I66" s="39"/>
      <c r="J66" s="39"/>
      <c r="K66" s="39"/>
      <c r="L66" s="193"/>
    </row>
    <row r="67" spans="1:15" x14ac:dyDescent="0.25">
      <c r="B67" s="184"/>
      <c r="C67" s="10"/>
      <c r="D67" s="39"/>
      <c r="E67" s="39"/>
      <c r="F67" s="39"/>
      <c r="G67" s="39"/>
      <c r="H67" s="223"/>
      <c r="I67" s="39"/>
      <c r="J67" s="39"/>
      <c r="K67" s="39"/>
      <c r="L67" s="193"/>
    </row>
    <row r="68" spans="1:15" x14ac:dyDescent="0.25">
      <c r="B68" s="184"/>
      <c r="C68" s="10"/>
      <c r="D68" s="39"/>
      <c r="E68" s="39"/>
      <c r="F68" s="39"/>
      <c r="G68" s="39"/>
      <c r="H68" s="223"/>
      <c r="I68" s="39"/>
      <c r="J68" s="39"/>
      <c r="K68" s="39"/>
      <c r="L68" s="193"/>
    </row>
    <row r="69" spans="1:15" x14ac:dyDescent="0.25">
      <c r="B69" s="184"/>
      <c r="C69" s="10"/>
      <c r="D69" s="39"/>
      <c r="E69" s="39"/>
      <c r="F69" s="39"/>
      <c r="G69" s="39"/>
      <c r="H69" s="223"/>
      <c r="I69" s="39"/>
      <c r="J69" s="39"/>
      <c r="K69" s="39"/>
      <c r="L69" s="193"/>
      <c r="O69" s="33"/>
    </row>
    <row r="70" spans="1:15" x14ac:dyDescent="0.25">
      <c r="B70" s="184"/>
      <c r="C70" s="10"/>
      <c r="D70" s="39"/>
      <c r="E70" s="39"/>
      <c r="F70" s="39"/>
      <c r="G70" s="39"/>
      <c r="H70" s="223"/>
      <c r="I70" s="39"/>
      <c r="J70" s="39"/>
      <c r="K70" s="39"/>
      <c r="L70" s="193"/>
    </row>
    <row r="71" spans="1:15" x14ac:dyDescent="0.25">
      <c r="B71" s="184"/>
      <c r="C71" s="10"/>
      <c r="D71" s="39"/>
      <c r="E71" s="39"/>
      <c r="F71" s="39"/>
      <c r="G71" s="39"/>
      <c r="H71" s="223"/>
      <c r="I71" s="39"/>
      <c r="J71" s="39"/>
      <c r="K71" s="39"/>
      <c r="L71" s="193"/>
    </row>
    <row r="72" spans="1:15" x14ac:dyDescent="0.25">
      <c r="B72" s="184"/>
      <c r="C72" s="10"/>
      <c r="D72" s="39"/>
      <c r="E72" s="39"/>
      <c r="F72" s="39"/>
      <c r="G72" s="39"/>
      <c r="H72" s="223"/>
      <c r="I72" s="39"/>
      <c r="J72" s="39"/>
      <c r="K72" s="39"/>
      <c r="L72" s="193"/>
    </row>
    <row r="73" spans="1:15" x14ac:dyDescent="0.25">
      <c r="B73" s="184"/>
      <c r="C73" s="10"/>
      <c r="D73" s="39"/>
      <c r="E73" s="39"/>
      <c r="F73" s="39"/>
      <c r="G73" s="39"/>
      <c r="H73" s="223"/>
      <c r="I73" s="39"/>
      <c r="J73" s="39"/>
      <c r="K73" s="39"/>
      <c r="L73" s="193"/>
    </row>
    <row r="74" spans="1:15" x14ac:dyDescent="0.25">
      <c r="B74" s="4"/>
      <c r="C74" s="4"/>
      <c r="D74" s="3"/>
      <c r="E74" s="3"/>
      <c r="F74" s="3"/>
      <c r="G74" s="3"/>
      <c r="H74" s="224"/>
      <c r="I74" s="3"/>
      <c r="J74" s="3"/>
      <c r="K74" s="3"/>
    </row>
    <row r="75" spans="1:15" x14ac:dyDescent="0.25">
      <c r="L75" t="s">
        <v>209</v>
      </c>
      <c r="M75" s="2">
        <f>M89+K89-F89</f>
        <v>75.019999999999982</v>
      </c>
    </row>
    <row r="76" spans="1:15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77</v>
      </c>
      <c r="M76" s="368" t="s">
        <v>38</v>
      </c>
    </row>
    <row r="77" spans="1:15" x14ac:dyDescent="0.25">
      <c r="A77" s="371" t="s">
        <v>174</v>
      </c>
      <c r="B77" s="361">
        <v>42376</v>
      </c>
      <c r="C77" s="362">
        <v>60</v>
      </c>
      <c r="D77" s="363">
        <v>41.01</v>
      </c>
      <c r="E77" s="363">
        <v>0</v>
      </c>
      <c r="F77" s="363">
        <f>C77*D77</f>
        <v>2460.6</v>
      </c>
      <c r="G77" s="361">
        <v>42426</v>
      </c>
      <c r="H77" s="366">
        <v>20</v>
      </c>
      <c r="I77" s="363">
        <v>38.450000000000003</v>
      </c>
      <c r="J77" s="363">
        <v>0.02</v>
      </c>
      <c r="K77" s="363">
        <f>H77*I77-J77</f>
        <v>768.98</v>
      </c>
      <c r="L77" s="361">
        <v>42444</v>
      </c>
      <c r="M77" s="363">
        <v>15.2</v>
      </c>
    </row>
    <row r="78" spans="1:15" x14ac:dyDescent="0.25">
      <c r="A78" s="372" t="s">
        <v>71</v>
      </c>
      <c r="B78" s="361">
        <v>42403</v>
      </c>
      <c r="C78" s="362">
        <v>20</v>
      </c>
      <c r="D78" s="363">
        <v>35.5</v>
      </c>
      <c r="E78" s="363">
        <v>0</v>
      </c>
      <c r="F78" s="363">
        <f>C78*D78</f>
        <v>710</v>
      </c>
      <c r="G78" s="361">
        <v>42426</v>
      </c>
      <c r="H78" s="366">
        <v>30</v>
      </c>
      <c r="I78" s="363">
        <v>38.75</v>
      </c>
      <c r="J78" s="363">
        <v>0.03</v>
      </c>
      <c r="K78" s="363">
        <f>H78*I78-J78</f>
        <v>1162.47</v>
      </c>
      <c r="L78" s="362"/>
      <c r="M78" s="362"/>
    </row>
    <row r="79" spans="1:15" x14ac:dyDescent="0.25">
      <c r="A79" s="362"/>
      <c r="B79" s="362"/>
      <c r="C79" s="362"/>
      <c r="D79" s="363"/>
      <c r="E79" s="363"/>
      <c r="F79" s="363"/>
      <c r="G79" s="361">
        <v>42447</v>
      </c>
      <c r="H79" s="366">
        <v>30</v>
      </c>
      <c r="I79" s="363">
        <v>43.3</v>
      </c>
      <c r="J79" s="363">
        <v>0.03</v>
      </c>
      <c r="K79" s="363">
        <f>H79*I79-J79</f>
        <v>1298.97</v>
      </c>
      <c r="L79" s="362"/>
      <c r="M79" s="362"/>
    </row>
    <row r="80" spans="1:15" x14ac:dyDescent="0.25">
      <c r="A80" s="362"/>
      <c r="B80" s="362"/>
      <c r="C80" s="362"/>
      <c r="D80" s="363"/>
      <c r="E80" s="363"/>
      <c r="F80" s="363"/>
      <c r="G80" s="362"/>
      <c r="H80" s="362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2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2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5" t="s">
        <v>81</v>
      </c>
      <c r="B89" s="36"/>
      <c r="C89" s="36">
        <f>SUM(C77:C88)</f>
        <v>80</v>
      </c>
      <c r="D89" s="37"/>
      <c r="E89" s="37"/>
      <c r="F89" s="37">
        <f>SUM(F77:F88)</f>
        <v>3170.6</v>
      </c>
      <c r="G89" s="36"/>
      <c r="H89" s="175">
        <f>SUM(H77:H88)</f>
        <v>80</v>
      </c>
      <c r="I89" s="37"/>
      <c r="J89" s="37"/>
      <c r="K89" s="37">
        <f>SUM(K77:K88)</f>
        <v>3230.42</v>
      </c>
      <c r="L89" s="37"/>
      <c r="M89" s="37">
        <f>SUM(M77:M78)</f>
        <v>15.2</v>
      </c>
    </row>
    <row r="90" spans="1:13" x14ac:dyDescent="0.25">
      <c r="G90" s="2"/>
    </row>
    <row r="92" spans="1:13" x14ac:dyDescent="0.25">
      <c r="B92" s="258" t="s">
        <v>113</v>
      </c>
      <c r="C92" s="258" t="s">
        <v>146</v>
      </c>
      <c r="D92" s="259" t="s">
        <v>145</v>
      </c>
      <c r="E92" s="260" t="s">
        <v>147</v>
      </c>
      <c r="F92" s="261" t="s">
        <v>65</v>
      </c>
      <c r="G92" s="262" t="s">
        <v>151</v>
      </c>
      <c r="H92" s="261" t="s">
        <v>88</v>
      </c>
      <c r="I92" s="261" t="s">
        <v>154</v>
      </c>
    </row>
    <row r="93" spans="1:13" x14ac:dyDescent="0.25">
      <c r="B93" s="255">
        <v>42376</v>
      </c>
      <c r="C93" s="250">
        <v>60</v>
      </c>
      <c r="D93" s="251">
        <v>41.01</v>
      </c>
      <c r="E93" s="251">
        <v>40.33</v>
      </c>
      <c r="F93" s="251">
        <f>C93*(E93-D93)</f>
        <v>-40.799999999999983</v>
      </c>
      <c r="G93" s="251">
        <f>D93*C93</f>
        <v>2460.6</v>
      </c>
      <c r="H93" s="265">
        <f>(E93-D93)/D93</f>
        <v>-1.6581321628871E-2</v>
      </c>
      <c r="I93" s="265"/>
    </row>
    <row r="94" spans="1:13" x14ac:dyDescent="0.25">
      <c r="B94" s="255">
        <v>42403</v>
      </c>
      <c r="C94" s="250">
        <v>80</v>
      </c>
      <c r="D94" s="251">
        <v>39.630000000000003</v>
      </c>
      <c r="E94" s="251">
        <v>36.229999999999997</v>
      </c>
      <c r="F94" s="251">
        <f>C94*(E94-D94)</f>
        <v>-272.00000000000045</v>
      </c>
      <c r="G94" s="251">
        <f>D94*C94</f>
        <v>3170.4</v>
      </c>
      <c r="H94" s="265">
        <f>(E94-D94)/D94</f>
        <v>-8.5793590714105611E-2</v>
      </c>
      <c r="I94" s="265"/>
    </row>
    <row r="95" spans="1:13" x14ac:dyDescent="0.25">
      <c r="B95" s="255">
        <v>42421</v>
      </c>
      <c r="C95" s="250">
        <v>80</v>
      </c>
      <c r="D95" s="251">
        <v>39.630000000000003</v>
      </c>
      <c r="E95" s="251">
        <v>37.46</v>
      </c>
      <c r="F95" s="251">
        <f>C95*(E95-D95)</f>
        <v>-173.60000000000014</v>
      </c>
      <c r="G95" s="251">
        <f>D95*C95</f>
        <v>3170.4</v>
      </c>
      <c r="H95" s="265">
        <f>(E95-D95)/D95</f>
        <v>-5.4756497602826179E-2</v>
      </c>
      <c r="I95" s="265"/>
    </row>
    <row r="96" spans="1:13" x14ac:dyDescent="0.25">
      <c r="B96" s="255">
        <v>42426</v>
      </c>
      <c r="C96" s="250">
        <v>60</v>
      </c>
      <c r="D96" s="251">
        <v>40.03</v>
      </c>
      <c r="E96" s="251">
        <v>38.450000000000003</v>
      </c>
      <c r="F96" s="251">
        <f t="shared" ref="F96:F102" si="35">C96*(E96-D96)</f>
        <v>-94.799999999999898</v>
      </c>
      <c r="G96" s="251">
        <f t="shared" ref="G96:G102" si="36">D96*C96</f>
        <v>2401.8000000000002</v>
      </c>
      <c r="H96" s="265">
        <f t="shared" ref="H96:H102" si="37">(E96-D96)/D96</f>
        <v>-3.9470397202098384E-2</v>
      </c>
      <c r="I96" s="265"/>
    </row>
    <row r="97" spans="2:9" x14ac:dyDescent="0.25">
      <c r="B97" s="255">
        <v>42426</v>
      </c>
      <c r="C97" s="250">
        <v>30</v>
      </c>
      <c r="D97" s="251">
        <v>41.31</v>
      </c>
      <c r="E97" s="251">
        <v>38.44</v>
      </c>
      <c r="F97" s="251">
        <f t="shared" si="35"/>
        <v>-86.100000000000136</v>
      </c>
      <c r="G97" s="251">
        <f t="shared" si="36"/>
        <v>1239.3000000000002</v>
      </c>
      <c r="H97" s="263">
        <f t="shared" si="37"/>
        <v>-6.9474703461631676E-2</v>
      </c>
      <c r="I97" s="263"/>
    </row>
    <row r="98" spans="2:9" x14ac:dyDescent="0.25">
      <c r="B98" s="255">
        <v>42430</v>
      </c>
      <c r="C98" s="250">
        <v>30</v>
      </c>
      <c r="D98" s="251">
        <v>41.31</v>
      </c>
      <c r="E98" s="251">
        <v>39.51</v>
      </c>
      <c r="F98" s="251">
        <f t="shared" si="35"/>
        <v>-54.000000000000128</v>
      </c>
      <c r="G98" s="251">
        <f t="shared" si="36"/>
        <v>1239.3000000000002</v>
      </c>
      <c r="H98" s="263">
        <f t="shared" si="37"/>
        <v>-4.3572984749455437E-2</v>
      </c>
      <c r="I98" s="263"/>
    </row>
    <row r="99" spans="2:9" x14ac:dyDescent="0.25">
      <c r="B99" s="255">
        <v>42431</v>
      </c>
      <c r="C99" s="250">
        <v>30</v>
      </c>
      <c r="D99" s="251">
        <v>41.305</v>
      </c>
      <c r="E99" s="251">
        <v>40.31</v>
      </c>
      <c r="F99" s="251">
        <f t="shared" si="35"/>
        <v>-29.849999999999923</v>
      </c>
      <c r="G99" s="251">
        <f t="shared" si="36"/>
        <v>1239.1500000000001</v>
      </c>
      <c r="H99" s="263">
        <f t="shared" si="37"/>
        <v>-2.4089093330105251E-2</v>
      </c>
      <c r="I99" s="263"/>
    </row>
    <row r="100" spans="2:9" x14ac:dyDescent="0.25">
      <c r="B100" s="255">
        <v>42435</v>
      </c>
      <c r="C100" s="250">
        <v>30</v>
      </c>
      <c r="D100" s="251">
        <v>41.305</v>
      </c>
      <c r="E100" s="251">
        <v>40.98</v>
      </c>
      <c r="F100" s="251">
        <f t="shared" si="35"/>
        <v>-9.7500000000000853</v>
      </c>
      <c r="G100" s="251">
        <f t="shared" si="36"/>
        <v>1239.1500000000001</v>
      </c>
      <c r="H100" s="263">
        <f t="shared" si="37"/>
        <v>-7.8682968163661261E-3</v>
      </c>
      <c r="I100" s="263"/>
    </row>
    <row r="101" spans="2:9" x14ac:dyDescent="0.25">
      <c r="B101" s="255">
        <v>42436</v>
      </c>
      <c r="C101" s="250">
        <v>30</v>
      </c>
      <c r="D101" s="251">
        <v>41.305</v>
      </c>
      <c r="E101" s="251">
        <v>39.590000000000003</v>
      </c>
      <c r="F101" s="251">
        <f t="shared" si="35"/>
        <v>-51.449999999999889</v>
      </c>
      <c r="G101" s="251">
        <f t="shared" si="36"/>
        <v>1239.1500000000001</v>
      </c>
      <c r="H101" s="263">
        <f t="shared" si="37"/>
        <v>-4.1520397046362338E-2</v>
      </c>
      <c r="I101" s="263"/>
    </row>
    <row r="102" spans="2:9" x14ac:dyDescent="0.25">
      <c r="B102" s="255">
        <v>42444</v>
      </c>
      <c r="C102" s="250">
        <v>30</v>
      </c>
      <c r="D102" s="251">
        <v>41.305</v>
      </c>
      <c r="E102" s="251">
        <v>41.37</v>
      </c>
      <c r="F102" s="251">
        <f t="shared" si="35"/>
        <v>1.9499999999999318</v>
      </c>
      <c r="G102" s="251">
        <f t="shared" si="36"/>
        <v>1239.1500000000001</v>
      </c>
      <c r="H102" s="263">
        <f t="shared" si="37"/>
        <v>1.5736593632731564E-3</v>
      </c>
      <c r="I102" s="263"/>
    </row>
    <row r="103" spans="2:9" x14ac:dyDescent="0.25">
      <c r="B103" s="255">
        <v>42444</v>
      </c>
      <c r="C103" s="250">
        <v>30</v>
      </c>
      <c r="D103" s="251">
        <v>40.47983</v>
      </c>
      <c r="E103" s="251">
        <v>41.37</v>
      </c>
      <c r="F103" s="251">
        <f>C103*(E103-D103)</f>
        <v>26.705099999999931</v>
      </c>
      <c r="G103" s="251">
        <f>D103*C103</f>
        <v>1214.3949</v>
      </c>
      <c r="H103" s="263">
        <f>(E103-D103)/D103</f>
        <v>2.1990457963879731E-2</v>
      </c>
      <c r="I103" s="263" t="s">
        <v>182</v>
      </c>
    </row>
    <row r="104" spans="2:9" x14ac:dyDescent="0.25">
      <c r="B104" s="255">
        <v>42447</v>
      </c>
      <c r="C104" s="250">
        <v>0</v>
      </c>
      <c r="D104" s="251"/>
      <c r="E104" s="251"/>
      <c r="F104" s="251">
        <v>75.02</v>
      </c>
      <c r="G104" s="251"/>
      <c r="H104" s="263"/>
      <c r="I104" s="263"/>
    </row>
    <row r="105" spans="2:9" x14ac:dyDescent="0.25">
      <c r="B105" s="250"/>
      <c r="C105" s="250"/>
      <c r="D105" s="251"/>
      <c r="E105" s="251"/>
      <c r="F105" s="251"/>
      <c r="G105" s="251"/>
      <c r="H105" s="263"/>
      <c r="I105" s="263"/>
    </row>
    <row r="106" spans="2:9" x14ac:dyDescent="0.25">
      <c r="B106" s="250"/>
      <c r="C106" s="250"/>
      <c r="D106" s="251"/>
      <c r="E106" s="251"/>
      <c r="F106" s="251"/>
      <c r="G106" s="251"/>
      <c r="H106" s="263"/>
      <c r="I106" s="263"/>
    </row>
    <row r="107" spans="2:9" x14ac:dyDescent="0.25">
      <c r="B107" s="250"/>
      <c r="C107" s="250"/>
      <c r="D107" s="251"/>
      <c r="E107" s="251"/>
      <c r="F107" s="251"/>
      <c r="G107" s="251"/>
      <c r="H107" s="263"/>
      <c r="I107" s="263"/>
    </row>
    <row r="108" spans="2:9" x14ac:dyDescent="0.25">
      <c r="B108" s="250"/>
      <c r="C108" s="250"/>
      <c r="D108" s="251"/>
      <c r="E108" s="251"/>
      <c r="F108" s="251"/>
      <c r="G108" s="251"/>
      <c r="H108" s="263"/>
      <c r="I108" s="263"/>
    </row>
    <row r="109" spans="2:9" x14ac:dyDescent="0.25">
      <c r="B109" s="250"/>
      <c r="C109" s="250"/>
      <c r="D109" s="251"/>
      <c r="E109" s="251"/>
      <c r="F109" s="251"/>
      <c r="G109" s="251"/>
      <c r="H109" s="263"/>
      <c r="I109" s="263"/>
    </row>
    <row r="110" spans="2:9" x14ac:dyDescent="0.25">
      <c r="B110" s="250"/>
      <c r="C110" s="250"/>
      <c r="D110" s="251"/>
      <c r="E110" s="251"/>
      <c r="F110" s="251"/>
      <c r="G110" s="251"/>
      <c r="H110" s="263"/>
      <c r="I110" s="263"/>
    </row>
    <row r="111" spans="2:9" x14ac:dyDescent="0.25">
      <c r="B111" s="250"/>
      <c r="C111" s="250"/>
      <c r="D111" s="251"/>
      <c r="E111" s="251"/>
      <c r="F111" s="251"/>
      <c r="G111" s="251"/>
      <c r="H111" s="263"/>
      <c r="I111" s="263"/>
    </row>
  </sheetData>
  <conditionalFormatting sqref="O19:O39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35 H36:H51 F50:F51 I53:K54 F55:F57 H55:H57 J55:K57 I47:L51 L53:L55 F62:F64 H62:K64 H71:K74 F71:F73 K65">
    <cfRule type="expression" dxfId="473" priority="71">
      <formula>F31&gt;0</formula>
    </cfRule>
    <cfRule type="expression" dxfId="472" priority="72">
      <formula>F31&lt;0</formula>
    </cfRule>
  </conditionalFormatting>
  <conditionalFormatting sqref="H31:H33">
    <cfRule type="expression" dxfId="471" priority="69">
      <formula>H31&gt;0</formula>
    </cfRule>
    <cfRule type="expression" dxfId="470" priority="70">
      <formula>H31&lt;0</formula>
    </cfRule>
  </conditionalFormatting>
  <conditionalFormatting sqref="H34">
    <cfRule type="expression" dxfId="469" priority="67">
      <formula>H34&gt;0</formula>
    </cfRule>
    <cfRule type="expression" dxfId="468" priority="68">
      <formula>H34&lt;0</formula>
    </cfRule>
  </conditionalFormatting>
  <conditionalFormatting sqref="H35">
    <cfRule type="expression" dxfId="467" priority="65">
      <formula>H35&gt;0</formula>
    </cfRule>
    <cfRule type="expression" dxfId="466" priority="66">
      <formula>H35&lt;0</formula>
    </cfRule>
  </conditionalFormatting>
  <conditionalFormatting sqref="F27:F30">
    <cfRule type="expression" dxfId="465" priority="61">
      <formula>F27&gt;0</formula>
    </cfRule>
    <cfRule type="expression" dxfId="464" priority="62">
      <formula>F27&lt;0</formula>
    </cfRule>
  </conditionalFormatting>
  <conditionalFormatting sqref="H27:H30">
    <cfRule type="expression" dxfId="463" priority="59">
      <formula>H27&gt;0</formula>
    </cfRule>
    <cfRule type="expression" dxfId="462" priority="60">
      <formula>H27&lt;0</formula>
    </cfRule>
  </conditionalFormatting>
  <conditionalFormatting sqref="F36:F37">
    <cfRule type="expression" dxfId="461" priority="55">
      <formula>F36&gt;0</formula>
    </cfRule>
    <cfRule type="expression" dxfId="460" priority="56">
      <formula>F36&lt;0</formula>
    </cfRule>
  </conditionalFormatting>
  <conditionalFormatting sqref="I31:L33">
    <cfRule type="expression" dxfId="459" priority="53">
      <formula>I31&gt;0</formula>
    </cfRule>
    <cfRule type="expression" dxfId="458" priority="54">
      <formula>I31&lt;0</formula>
    </cfRule>
  </conditionalFormatting>
  <conditionalFormatting sqref="I40:I45 I37:L38">
    <cfRule type="expression" dxfId="457" priority="47">
      <formula>I37&gt;0</formula>
    </cfRule>
    <cfRule type="expression" dxfId="456" priority="48">
      <formula>I37&lt;0</formula>
    </cfRule>
  </conditionalFormatting>
  <conditionalFormatting sqref="I27:L30">
    <cfRule type="expression" dxfId="455" priority="45">
      <formula>I27&gt;0</formula>
    </cfRule>
    <cfRule type="expression" dxfId="454" priority="46">
      <formula>I27&lt;0</formula>
    </cfRule>
  </conditionalFormatting>
  <conditionalFormatting sqref="F38:F49">
    <cfRule type="expression" dxfId="453" priority="43">
      <formula>F38&gt;0</formula>
    </cfRule>
    <cfRule type="expression" dxfId="452" priority="44">
      <formula>F38&lt;0</formula>
    </cfRule>
  </conditionalFormatting>
  <conditionalFormatting sqref="Q8">
    <cfRule type="expression" dxfId="451" priority="39">
      <formula>Q8&gt;0</formula>
    </cfRule>
    <cfRule type="expression" dxfId="450" priority="40">
      <formula>Q8&lt;0</formula>
    </cfRule>
  </conditionalFormatting>
  <conditionalFormatting sqref="Q7">
    <cfRule type="expression" dxfId="449" priority="41">
      <formula>Q7&gt;0</formula>
    </cfRule>
    <cfRule type="expression" dxfId="448" priority="42">
      <formula>Q7&lt;0</formula>
    </cfRule>
  </conditionalFormatting>
  <conditionalFormatting sqref="F97:F101">
    <cfRule type="expression" dxfId="447" priority="37">
      <formula>F97&gt;0</formula>
    </cfRule>
    <cfRule type="expression" dxfId="446" priority="38">
      <formula>F97&lt;0</formula>
    </cfRule>
  </conditionalFormatting>
  <conditionalFormatting sqref="H97:H99">
    <cfRule type="expression" dxfId="445" priority="35">
      <formula>H97&gt;0</formula>
    </cfRule>
    <cfRule type="expression" dxfId="444" priority="36">
      <formula>H97&lt;0</formula>
    </cfRule>
  </conditionalFormatting>
  <conditionalFormatting sqref="H100">
    <cfRule type="expression" dxfId="443" priority="33">
      <formula>H100&gt;0</formula>
    </cfRule>
    <cfRule type="expression" dxfId="442" priority="34">
      <formula>H100&lt;0</formula>
    </cfRule>
  </conditionalFormatting>
  <conditionalFormatting sqref="H101">
    <cfRule type="expression" dxfId="441" priority="31">
      <formula>H101&gt;0</formula>
    </cfRule>
    <cfRule type="expression" dxfId="440" priority="32">
      <formula>H101&lt;0</formula>
    </cfRule>
  </conditionalFormatting>
  <conditionalFormatting sqref="H102:H111">
    <cfRule type="expression" dxfId="439" priority="29">
      <formula>H102&gt;0</formula>
    </cfRule>
    <cfRule type="expression" dxfId="438" priority="30">
      <formula>H102&lt;0</formula>
    </cfRule>
  </conditionalFormatting>
  <conditionalFormatting sqref="F93:F96">
    <cfRule type="expression" dxfId="437" priority="27">
      <formula>F93&gt;0</formula>
    </cfRule>
    <cfRule type="expression" dxfId="436" priority="28">
      <formula>F93&lt;0</formula>
    </cfRule>
  </conditionalFormatting>
  <conditionalFormatting sqref="H93:H96">
    <cfRule type="expression" dxfId="435" priority="25">
      <formula>H93&gt;0</formula>
    </cfRule>
    <cfRule type="expression" dxfId="434" priority="26">
      <formula>H93&lt;0</formula>
    </cfRule>
  </conditionalFormatting>
  <conditionalFormatting sqref="F102:F103">
    <cfRule type="expression" dxfId="433" priority="23">
      <formula>F102&gt;0</formula>
    </cfRule>
    <cfRule type="expression" dxfId="432" priority="24">
      <formula>F102&lt;0</formula>
    </cfRule>
  </conditionalFormatting>
  <conditionalFormatting sqref="I97:I99">
    <cfRule type="expression" dxfId="431" priority="21">
      <formula>I97&gt;0</formula>
    </cfRule>
    <cfRule type="expression" dxfId="430" priority="22">
      <formula>I97&lt;0</formula>
    </cfRule>
  </conditionalFormatting>
  <conditionalFormatting sqref="I100">
    <cfRule type="expression" dxfId="429" priority="19">
      <formula>I100&gt;0</formula>
    </cfRule>
    <cfRule type="expression" dxfId="428" priority="20">
      <formula>I100&lt;0</formula>
    </cfRule>
  </conditionalFormatting>
  <conditionalFormatting sqref="I101">
    <cfRule type="expression" dxfId="427" priority="17">
      <formula>I101&gt;0</formula>
    </cfRule>
    <cfRule type="expression" dxfId="426" priority="18">
      <formula>I101&lt;0</formula>
    </cfRule>
  </conditionalFormatting>
  <conditionalFormatting sqref="I102:I111">
    <cfRule type="expression" dxfId="425" priority="15">
      <formula>I102&gt;0</formula>
    </cfRule>
    <cfRule type="expression" dxfId="424" priority="16">
      <formula>I102&lt;0</formula>
    </cfRule>
  </conditionalFormatting>
  <conditionalFormatting sqref="I93:I96">
    <cfRule type="expression" dxfId="423" priority="13">
      <formula>I93&gt;0</formula>
    </cfRule>
    <cfRule type="expression" dxfId="422" priority="14">
      <formula>I93&lt;0</formula>
    </cfRule>
  </conditionalFormatting>
  <conditionalFormatting sqref="F104">
    <cfRule type="expression" dxfId="421" priority="11">
      <formula>F104&gt;0</formula>
    </cfRule>
    <cfRule type="expression" dxfId="420" priority="12">
      <formula>F104&lt;0</formula>
    </cfRule>
  </conditionalFormatting>
  <conditionalFormatting sqref="F52:F54 H53:H54 H52:L52">
    <cfRule type="expression" dxfId="419" priority="9">
      <formula>F52&gt;0</formula>
    </cfRule>
    <cfRule type="expression" dxfId="418" priority="10">
      <formula>F52&lt;0</formula>
    </cfRule>
  </conditionalFormatting>
  <conditionalFormatting sqref="R4">
    <cfRule type="expression" dxfId="417" priority="7">
      <formula>R4&gt;0</formula>
    </cfRule>
    <cfRule type="expression" dxfId="416" priority="8">
      <formula>R4&lt;0</formula>
    </cfRule>
  </conditionalFormatting>
  <conditionalFormatting sqref="F58:F61 H58:K61">
    <cfRule type="expression" dxfId="415" priority="5">
      <formula>F58&gt;0</formula>
    </cfRule>
    <cfRule type="expression" dxfId="414" priority="6">
      <formula>F58&lt;0</formula>
    </cfRule>
  </conditionalFormatting>
  <conditionalFormatting sqref="H66:K70 F65:F70 H65:J65">
    <cfRule type="expression" dxfId="413" priority="1">
      <formula>F65&gt;0</formula>
    </cfRule>
    <cfRule type="expression" dxfId="412" priority="2">
      <formula>F65&lt;0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67.39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67.39</v>
      </c>
      <c r="R4" s="475">
        <v>6.6E-3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207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207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74.129000000000005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73.455100000000002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72.781199999999998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72.107300000000009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71.433400000000006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70.759500000000003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70.085599999999999</v>
      </c>
      <c r="Q49" s="33"/>
      <c r="R49" s="33"/>
      <c r="T49" s="91" t="s">
        <v>121</v>
      </c>
      <c r="U49" s="86" t="s">
        <v>472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69.411699999999996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68.737800000000007</v>
      </c>
      <c r="Q51" s="81"/>
      <c r="R51" s="33"/>
      <c r="T51" s="91" t="s">
        <v>104</v>
      </c>
      <c r="U51" s="86" t="s">
        <v>631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68.063900000000004</v>
      </c>
      <c r="Q52" s="81"/>
      <c r="R52" s="33"/>
      <c r="T52" s="91" t="s">
        <v>105</v>
      </c>
      <c r="U52" s="86" t="s">
        <v>500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67.39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66.716099999999997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66.042199999999994</v>
      </c>
      <c r="Q55" s="81"/>
      <c r="R55" s="33"/>
      <c r="T55" s="91" t="s">
        <v>107</v>
      </c>
      <c r="U55" s="86" t="s">
        <v>632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65.368300000000005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64.694400000000002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64.020499999999998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338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63.346599999999995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62.672700000000006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61.998800000000003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61.3249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60.651000000000003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11" priority="11">
      <formula>Q8&gt;0</formula>
    </cfRule>
    <cfRule type="expression" dxfId="410" priority="12">
      <formula>Q8&lt;0</formula>
    </cfRule>
  </conditionalFormatting>
  <conditionalFormatting sqref="Q7">
    <cfRule type="expression" dxfId="409" priority="13">
      <formula>Q7&gt;0</formula>
    </cfRule>
    <cfRule type="expression" dxfId="408" priority="14">
      <formula>Q7&lt;0</formula>
    </cfRule>
  </conditionalFormatting>
  <conditionalFormatting sqref="F22">
    <cfRule type="expression" dxfId="407" priority="9">
      <formula>F22&gt;0</formula>
    </cfRule>
    <cfRule type="expression" dxfId="406" priority="10">
      <formula>F22&lt;0</formula>
    </cfRule>
  </conditionalFormatting>
  <conditionalFormatting sqref="H22">
    <cfRule type="expression" dxfId="405" priority="7">
      <formula>H22&gt;0</formula>
    </cfRule>
    <cfRule type="expression" dxfId="404" priority="8">
      <formula>H22&lt;0</formula>
    </cfRule>
  </conditionalFormatting>
  <conditionalFormatting sqref="F59">
    <cfRule type="expression" dxfId="403" priority="5">
      <formula>F59&gt;0</formula>
    </cfRule>
    <cfRule type="expression" dxfId="402" priority="6">
      <formula>F59&lt;0</formula>
    </cfRule>
  </conditionalFormatting>
  <conditionalFormatting sqref="H59">
    <cfRule type="expression" dxfId="401" priority="3">
      <formula>H59&gt;0</formula>
    </cfRule>
    <cfRule type="expression" dxfId="400" priority="4">
      <formula>H59&lt;0</formula>
    </cfRule>
  </conditionalFormatting>
  <conditionalFormatting sqref="M30">
    <cfRule type="expression" dxfId="399" priority="1">
      <formula>M30&gt;0</formula>
    </cfRule>
    <cfRule type="expression" dxfId="39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93.6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93.6</v>
      </c>
      <c r="R4" s="475">
        <v>1.5599999999999999E-2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208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207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450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51" t="s">
        <v>78</v>
      </c>
      <c r="P35" s="851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102.96000000000001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102.024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101.08799999999999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100.152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207</v>
      </c>
      <c r="M40" s="2">
        <f>K56+M56-F56</f>
        <v>523.61999999999898</v>
      </c>
      <c r="O40" s="81">
        <v>1.06</v>
      </c>
      <c r="P40" s="81">
        <f t="shared" si="3"/>
        <v>99.215999999999994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98.28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97.343999999999994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96.408000000000001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95.471999999999994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94.536000000000001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93.6</v>
      </c>
      <c r="Q46" s="2"/>
      <c r="T46" s="111" t="s">
        <v>103</v>
      </c>
      <c r="U46" s="104" t="s">
        <v>392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92.663999999999987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91.727999999999994</v>
      </c>
      <c r="Q48" s="2"/>
      <c r="T48" s="111" t="s">
        <v>104</v>
      </c>
      <c r="U48" s="104" t="s">
        <v>633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90.791999999999987</v>
      </c>
      <c r="T49" s="111" t="s">
        <v>105</v>
      </c>
      <c r="U49" s="104" t="s">
        <v>509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89.855999999999995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88.919999999999987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87.983999999999995</v>
      </c>
      <c r="T52" s="111" t="s">
        <v>107</v>
      </c>
      <c r="U52" s="104" t="s">
        <v>634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87.048000000000002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86.111999999999995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85.176000000000002</v>
      </c>
      <c r="T55" s="111" t="s">
        <v>108</v>
      </c>
      <c r="U55" s="104" t="s">
        <v>547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84.24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97" priority="19">
      <formula>F27&gt;0</formula>
    </cfRule>
    <cfRule type="expression" dxfId="396" priority="20">
      <formula>F27&lt;0</formula>
    </cfRule>
  </conditionalFormatting>
  <conditionalFormatting sqref="F37:F38">
    <cfRule type="expression" dxfId="395" priority="17">
      <formula>F37&gt;0</formula>
    </cfRule>
    <cfRule type="expression" dxfId="394" priority="18">
      <formula>F37&lt;0</formula>
    </cfRule>
  </conditionalFormatting>
  <conditionalFormatting sqref="H27:H32">
    <cfRule type="expression" dxfId="393" priority="15">
      <formula>H27&gt;0</formula>
    </cfRule>
    <cfRule type="expression" dxfId="392" priority="16">
      <formula>H27&lt;0</formula>
    </cfRule>
  </conditionalFormatting>
  <conditionalFormatting sqref="Q7">
    <cfRule type="expression" dxfId="391" priority="3">
      <formula>Q7&gt;0</formula>
    </cfRule>
    <cfRule type="expression" dxfId="390" priority="4">
      <formula>Q7&lt;0</formula>
    </cfRule>
  </conditionalFormatting>
  <conditionalFormatting sqref="Q8">
    <cfRule type="expression" dxfId="389" priority="1">
      <formula>Q8&gt;0</formula>
    </cfRule>
    <cfRule type="expression" dxfId="38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157.13999999999999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157.13999999999999</v>
      </c>
      <c r="R4" s="475">
        <v>1.6500000000000001E-2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208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207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172.85399999999998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171.2826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169.71119999999999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168.13980000000001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166.5684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164.99699999999999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163.4256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161.85419999999999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160.28279999999998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158.7114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157.13999999999999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155.56859999999998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153.99719999999999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152.42579999999998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150.85439999999997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149.28299999999999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147.71159999999998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146.14019999999999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144.56879999999998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142.9974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141.42599999999999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387" priority="25">
      <formula>F24&gt;0</formula>
    </cfRule>
    <cfRule type="expression" dxfId="386" priority="26">
      <formula>F24&lt;0</formula>
    </cfRule>
  </conditionalFormatting>
  <conditionalFormatting sqref="H21:H27">
    <cfRule type="expression" dxfId="385" priority="19">
      <formula>H21&gt;0</formula>
    </cfRule>
    <cfRule type="expression" dxfId="384" priority="20">
      <formula>H21&lt;0</formula>
    </cfRule>
  </conditionalFormatting>
  <conditionalFormatting sqref="F21:F23">
    <cfRule type="expression" dxfId="383" priority="5">
      <formula>F21&gt;0</formula>
    </cfRule>
    <cfRule type="expression" dxfId="382" priority="6">
      <formula>F21&lt;0</formula>
    </cfRule>
  </conditionalFormatting>
  <conditionalFormatting sqref="Q8">
    <cfRule type="expression" dxfId="381" priority="1">
      <formula>Q8&gt;0</formula>
    </cfRule>
    <cfRule type="expression" dxfId="380" priority="2">
      <formula>Q8&lt;0</formula>
    </cfRule>
  </conditionalFormatting>
  <conditionalFormatting sqref="Q7">
    <cfRule type="expression" dxfId="379" priority="3">
      <formula>Q7&gt;0</formula>
    </cfRule>
    <cfRule type="expression" dxfId="3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247.43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247.43</v>
      </c>
      <c r="R4" s="475">
        <v>-1E-3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207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320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207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6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6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6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7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51" t="s">
        <v>78</v>
      </c>
      <c r="P41" s="851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272.173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269.69870000000003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267.2244</v>
      </c>
      <c r="Q44" s="2"/>
      <c r="T44" s="132" t="s">
        <v>99</v>
      </c>
      <c r="U44" s="86" t="s">
        <v>635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264.75010000000003</v>
      </c>
      <c r="Q45" s="2"/>
      <c r="T45" s="132" t="s">
        <v>100</v>
      </c>
      <c r="U45" s="86" t="s">
        <v>636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262.2758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259.80150000000003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257.3272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254.85290000000001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252.37860000000001</v>
      </c>
      <c r="Q50" s="2"/>
      <c r="T50" s="132" t="s">
        <v>104</v>
      </c>
      <c r="U50" s="86" t="s">
        <v>637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249.90430000000001</v>
      </c>
      <c r="Q51" s="2"/>
      <c r="T51" s="132" t="s">
        <v>105</v>
      </c>
      <c r="U51" s="86" t="s">
        <v>496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247.43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244.95570000000001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242.48140000000001</v>
      </c>
      <c r="Q54" s="2"/>
      <c r="T54" s="132" t="s">
        <v>107</v>
      </c>
      <c r="U54" s="86" t="s">
        <v>638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240.00710000000001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237.53280000000001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235.05850000000001</v>
      </c>
      <c r="T57" s="132" t="s">
        <v>108</v>
      </c>
      <c r="U57" s="86" t="s">
        <v>548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232.58419999999998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230.10990000000001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227.63560000000001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225.16130000000001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222.68700000000001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7" priority="11">
      <formula>F21&gt;0</formula>
    </cfRule>
    <cfRule type="expression" dxfId="376" priority="12">
      <formula>F21&lt;0</formula>
    </cfRule>
  </conditionalFormatting>
  <conditionalFormatting sqref="H21:H23">
    <cfRule type="expression" dxfId="375" priority="9">
      <formula>H21&gt;0</formula>
    </cfRule>
    <cfRule type="expression" dxfId="374" priority="10">
      <formula>H21&lt;0</formula>
    </cfRule>
  </conditionalFormatting>
  <conditionalFormatting sqref="Q8">
    <cfRule type="expression" dxfId="373" priority="1">
      <formula>Q8&gt;0</formula>
    </cfRule>
    <cfRule type="expression" dxfId="372" priority="2">
      <formula>Q8&lt;0</formula>
    </cfRule>
  </conditionalFormatting>
  <conditionalFormatting sqref="Q7">
    <cfRule type="expression" dxfId="371" priority="3">
      <formula>Q7&gt;0</formula>
    </cfRule>
    <cfRule type="expression" dxfId="37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242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71.790000000000006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71.790000000000006</v>
      </c>
      <c r="R4" s="475">
        <v>1.14E-2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208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207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51" t="s">
        <v>78</v>
      </c>
      <c r="P40" s="851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78.969000000000008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78.251100000000008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77.533200000000008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76.815300000000008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76.097400000000007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75.379500000000007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74.661600000000007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73.943700000000007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73.225800000000007</v>
      </c>
      <c r="Q49" s="2"/>
      <c r="T49" s="91" t="s">
        <v>121</v>
      </c>
      <c r="U49" s="86" t="s">
        <v>341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72.507900000000006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71.790000000000006</v>
      </c>
      <c r="Q51" s="2"/>
      <c r="T51" s="91" t="s">
        <v>104</v>
      </c>
      <c r="U51" s="86" t="s">
        <v>667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71.072100000000006</v>
      </c>
      <c r="Q52" s="2"/>
      <c r="T52" s="91" t="s">
        <v>105</v>
      </c>
      <c r="U52" s="86" t="s">
        <v>321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70.354200000000006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69.636300000000006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68.918400000000005</v>
      </c>
      <c r="T55" s="91" t="s">
        <v>107</v>
      </c>
      <c r="U55" s="86" t="s">
        <v>668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68.200500000000005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67.482600000000005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66.764700000000005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66.046800000000005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65.328900000000004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64.611000000000004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69" priority="15">
      <formula>F29&gt;0</formula>
    </cfRule>
    <cfRule type="expression" dxfId="368" priority="16">
      <formula>F29&lt;0</formula>
    </cfRule>
  </conditionalFormatting>
  <conditionalFormatting sqref="F34:F62">
    <cfRule type="expression" dxfId="367" priority="11">
      <formula>F34&gt;0</formula>
    </cfRule>
    <cfRule type="expression" dxfId="366" priority="12">
      <formula>F34&lt;0</formula>
    </cfRule>
  </conditionalFormatting>
  <conditionalFormatting sqref="F34:F62">
    <cfRule type="expression" dxfId="365" priority="13">
      <formula>F34&gt;0</formula>
    </cfRule>
    <cfRule type="expression" dxfId="364" priority="14">
      <formula>F34&lt;0</formula>
    </cfRule>
  </conditionalFormatting>
  <conditionalFormatting sqref="H29:H62">
    <cfRule type="expression" dxfId="363" priority="9">
      <formula>H29&gt;0</formula>
    </cfRule>
    <cfRule type="expression" dxfId="362" priority="10">
      <formula>H29&lt;0</formula>
    </cfRule>
  </conditionalFormatting>
  <conditionalFormatting sqref="F25:F28">
    <cfRule type="expression" dxfId="361" priority="7">
      <formula>F25&gt;0</formula>
    </cfRule>
    <cfRule type="expression" dxfId="360" priority="8">
      <formula>F25&lt;0</formula>
    </cfRule>
  </conditionalFormatting>
  <conditionalFormatting sqref="H25:H28">
    <cfRule type="expression" dxfId="359" priority="5">
      <formula>H25&gt;0</formula>
    </cfRule>
    <cfRule type="expression" dxfId="358" priority="6">
      <formula>H25&lt;0</formula>
    </cfRule>
  </conditionalFormatting>
  <conditionalFormatting sqref="Q7">
    <cfRule type="expression" dxfId="357" priority="3">
      <formula>Q7&gt;0</formula>
    </cfRule>
    <cfRule type="expression" dxfId="356" priority="4">
      <formula>Q7&lt;0</formula>
    </cfRule>
  </conditionalFormatting>
  <conditionalFormatting sqref="Q8">
    <cfRule type="expression" dxfId="355" priority="1">
      <formula>Q8&gt;0</formula>
    </cfRule>
    <cfRule type="expression" dxfId="35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198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50.26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50.26</v>
      </c>
      <c r="R4" s="492">
        <v>7.0000000000000001E-3</v>
      </c>
      <c r="T4" s="156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226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207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1" t="s">
        <v>113</v>
      </c>
      <c r="C24" s="362" t="s">
        <v>146</v>
      </c>
      <c r="D24" s="363" t="s">
        <v>145</v>
      </c>
      <c r="E24" s="363" t="s">
        <v>147</v>
      </c>
      <c r="F24" s="363" t="s">
        <v>65</v>
      </c>
      <c r="G24" s="363" t="s">
        <v>151</v>
      </c>
      <c r="H24" s="364" t="s">
        <v>88</v>
      </c>
      <c r="I24" s="36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1" t="s">
        <v>78</v>
      </c>
      <c r="P40" s="851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55.286000000000001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54.7834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2"/>
        <v>54.280799999999999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2"/>
        <v>53.778199999999998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2"/>
        <v>53.275599999999997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2"/>
        <v>52.773000000000003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2"/>
        <v>52.270400000000002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2"/>
        <v>51.767800000000001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2"/>
        <v>51.2652</v>
      </c>
      <c r="Q49" s="2"/>
      <c r="T49" s="91" t="s">
        <v>103</v>
      </c>
      <c r="U49" s="86" t="s">
        <v>639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2"/>
        <v>50.762599999999999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2"/>
        <v>50.26</v>
      </c>
      <c r="Q51" s="2"/>
      <c r="T51" s="91" t="s">
        <v>104</v>
      </c>
      <c r="U51" s="86" t="s">
        <v>640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2"/>
        <v>49.757399999999997</v>
      </c>
      <c r="Q52" s="2"/>
      <c r="T52" s="91" t="s">
        <v>105</v>
      </c>
      <c r="U52" s="86" t="s">
        <v>326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2"/>
        <v>49.254799999999996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4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2"/>
        <v>48.752199999999995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4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2"/>
        <v>48.249599999999994</v>
      </c>
      <c r="T55" s="91" t="s">
        <v>107</v>
      </c>
      <c r="U55" s="86" t="s">
        <v>641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4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2"/>
        <v>47.746999999999993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4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2"/>
        <v>47.244399999999999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4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2"/>
        <v>46.741799999999998</v>
      </c>
      <c r="T58" s="91" t="s">
        <v>108</v>
      </c>
      <c r="U58" s="86" t="s">
        <v>549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2"/>
        <v>46.239199999999997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2"/>
        <v>45.736600000000003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2"/>
        <v>45.234000000000002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4"/>
      <c r="C63" s="10"/>
      <c r="D63" s="39"/>
      <c r="E63" s="39"/>
      <c r="F63" s="39"/>
      <c r="G63" s="39"/>
      <c r="H63" s="222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4"/>
      <c r="C64" s="10"/>
      <c r="D64" s="39"/>
      <c r="E64" s="39"/>
      <c r="F64" s="39"/>
      <c r="G64" s="39"/>
      <c r="H64" s="222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4"/>
      <c r="C65" s="10"/>
      <c r="D65" s="39"/>
      <c r="E65" s="39"/>
      <c r="F65" s="39"/>
      <c r="G65" s="39"/>
      <c r="H65" s="222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4"/>
      <c r="C66" s="10"/>
      <c r="D66" s="39"/>
      <c r="E66" s="39"/>
      <c r="F66" s="39"/>
      <c r="G66" s="39"/>
      <c r="H66" s="222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31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31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31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3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31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3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31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3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31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3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31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3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31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3"/>
        <v>1720</v>
      </c>
      <c r="G78" s="362"/>
      <c r="H78" s="366"/>
      <c r="I78" s="363"/>
      <c r="J78" s="363"/>
      <c r="K78" s="363"/>
      <c r="L78" s="362"/>
      <c r="M78" s="362"/>
    </row>
    <row r="79" spans="1:31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3"/>
        <v>1812</v>
      </c>
      <c r="G79" s="362"/>
      <c r="H79" s="366"/>
      <c r="I79" s="363"/>
      <c r="J79" s="363"/>
      <c r="K79" s="363"/>
      <c r="L79" s="362"/>
      <c r="M79" s="362"/>
    </row>
    <row r="80" spans="1:31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333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363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396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401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436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53" priority="73">
      <formula>F25&gt;0</formula>
    </cfRule>
    <cfRule type="expression" dxfId="352" priority="74">
      <formula>F25&lt;0</formula>
    </cfRule>
  </conditionalFormatting>
  <conditionalFormatting sqref="F57:F64 F66">
    <cfRule type="expression" dxfId="351" priority="69">
      <formula>F57&gt;0</formula>
    </cfRule>
    <cfRule type="expression" dxfId="350" priority="70">
      <formula>F57&lt;0</formula>
    </cfRule>
  </conditionalFormatting>
  <conditionalFormatting sqref="F57:F64 F66">
    <cfRule type="expression" dxfId="349" priority="71">
      <formula>F57&gt;0</formula>
    </cfRule>
    <cfRule type="expression" dxfId="348" priority="72">
      <formula>F57&lt;0</formula>
    </cfRule>
  </conditionalFormatting>
  <conditionalFormatting sqref="H57:H64 H66">
    <cfRule type="expression" dxfId="347" priority="67">
      <formula>H57&gt;0</formula>
    </cfRule>
    <cfRule type="expression" dxfId="346" priority="68">
      <formula>H57&lt;0</formula>
    </cfRule>
  </conditionalFormatting>
  <conditionalFormatting sqref="Q7">
    <cfRule type="expression" dxfId="345" priority="49">
      <formula>Q7&gt;0</formula>
    </cfRule>
    <cfRule type="expression" dxfId="344" priority="50">
      <formula>Q7&lt;0</formula>
    </cfRule>
  </conditionalFormatting>
  <conditionalFormatting sqref="Q8">
    <cfRule type="expression" dxfId="343" priority="47">
      <formula>Q8&gt;0</formula>
    </cfRule>
    <cfRule type="expression" dxfId="342" priority="48">
      <formula>Q8&lt;0</formula>
    </cfRule>
  </conditionalFormatting>
  <conditionalFormatting sqref="F24">
    <cfRule type="expression" dxfId="341" priority="33">
      <formula>F24&gt;0</formula>
    </cfRule>
    <cfRule type="expression" dxfId="340" priority="34">
      <formula>F24&lt;0</formula>
    </cfRule>
  </conditionalFormatting>
  <conditionalFormatting sqref="H24">
    <cfRule type="expression" dxfId="339" priority="31">
      <formula>H24&gt;0</formula>
    </cfRule>
    <cfRule type="expression" dxfId="338" priority="32">
      <formula>H24&lt;0</formula>
    </cfRule>
  </conditionalFormatting>
  <conditionalFormatting sqref="M67">
    <cfRule type="expression" dxfId="337" priority="29">
      <formula>M67&gt;0</formula>
    </cfRule>
    <cfRule type="expression" dxfId="336" priority="30">
      <formula>M67&lt;0</formula>
    </cfRule>
  </conditionalFormatting>
  <conditionalFormatting sqref="F65">
    <cfRule type="expression" dxfId="335" priority="25">
      <formula>F65&gt;0</formula>
    </cfRule>
    <cfRule type="expression" dxfId="334" priority="26">
      <formula>F65&lt;0</formula>
    </cfRule>
  </conditionalFormatting>
  <conditionalFormatting sqref="F65">
    <cfRule type="expression" dxfId="333" priority="27">
      <formula>F65&gt;0</formula>
    </cfRule>
    <cfRule type="expression" dxfId="332" priority="28">
      <formula>F65&lt;0</formula>
    </cfRule>
  </conditionalFormatting>
  <conditionalFormatting sqref="H65">
    <cfRule type="expression" dxfId="331" priority="23">
      <formula>H65&gt;0</formula>
    </cfRule>
    <cfRule type="expression" dxfId="330" priority="24">
      <formula>H65&lt;0</formula>
    </cfRule>
  </conditionalFormatting>
  <conditionalFormatting sqref="F93:F97 H93:H97 H99:H124 F99:F124">
    <cfRule type="expression" dxfId="329" priority="19">
      <formula>F93&gt;0</formula>
    </cfRule>
    <cfRule type="expression" dxfId="328" priority="20">
      <formula>F93&lt;0</formula>
    </cfRule>
  </conditionalFormatting>
  <conditionalFormatting sqref="F125:F132 F134">
    <cfRule type="expression" dxfId="327" priority="15">
      <formula>F125&gt;0</formula>
    </cfRule>
    <cfRule type="expression" dxfId="326" priority="16">
      <formula>F125&lt;0</formula>
    </cfRule>
  </conditionalFormatting>
  <conditionalFormatting sqref="F125:F132 F134">
    <cfRule type="expression" dxfId="325" priority="17">
      <formula>F125&gt;0</formula>
    </cfRule>
    <cfRule type="expression" dxfId="324" priority="18">
      <formula>F125&lt;0</formula>
    </cfRule>
  </conditionalFormatting>
  <conditionalFormatting sqref="H125:H132 H134">
    <cfRule type="expression" dxfId="323" priority="13">
      <formula>H125&gt;0</formula>
    </cfRule>
    <cfRule type="expression" dxfId="322" priority="14">
      <formula>H125&lt;0</formula>
    </cfRule>
  </conditionalFormatting>
  <conditionalFormatting sqref="F92">
    <cfRule type="expression" dxfId="321" priority="11">
      <formula>F92&gt;0</formula>
    </cfRule>
    <cfRule type="expression" dxfId="320" priority="12">
      <formula>F92&lt;0</formula>
    </cfRule>
  </conditionalFormatting>
  <conditionalFormatting sqref="H92">
    <cfRule type="expression" dxfId="319" priority="9">
      <formula>H92&gt;0</formula>
    </cfRule>
    <cfRule type="expression" dxfId="318" priority="10">
      <formula>H92&lt;0</formula>
    </cfRule>
  </conditionalFormatting>
  <conditionalFormatting sqref="F133">
    <cfRule type="expression" dxfId="317" priority="5">
      <formula>F133&gt;0</formula>
    </cfRule>
    <cfRule type="expression" dxfId="316" priority="6">
      <formula>F133&lt;0</formula>
    </cfRule>
  </conditionalFormatting>
  <conditionalFormatting sqref="F133">
    <cfRule type="expression" dxfId="315" priority="7">
      <formula>F133&gt;0</formula>
    </cfRule>
    <cfRule type="expression" dxfId="314" priority="8">
      <formula>F133&lt;0</formula>
    </cfRule>
  </conditionalFormatting>
  <conditionalFormatting sqref="H133">
    <cfRule type="expression" dxfId="313" priority="3">
      <formula>H133&gt;0</formula>
    </cfRule>
    <cfRule type="expression" dxfId="312" priority="4">
      <formula>H133&lt;0</formula>
    </cfRule>
  </conditionalFormatting>
  <conditionalFormatting sqref="F98 H98">
    <cfRule type="expression" dxfId="311" priority="1">
      <formula>F98&gt;0</formula>
    </cfRule>
    <cfRule type="expression" dxfId="310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200</v>
      </c>
      <c r="T2" s="1" t="s">
        <v>199</v>
      </c>
    </row>
    <row r="3" spans="1:21" x14ac:dyDescent="0.25">
      <c r="A3" s="22" t="s">
        <v>71</v>
      </c>
      <c r="B3" s="72">
        <v>43229</v>
      </c>
      <c r="C3" s="4">
        <v>100</v>
      </c>
      <c r="D3" s="3">
        <v>51.55</v>
      </c>
      <c r="E3" s="3">
        <v>0</v>
      </c>
      <c r="F3" s="3">
        <f>C3*D3+E3</f>
        <v>5155</v>
      </c>
      <c r="G3" s="72"/>
      <c r="H3" s="176"/>
      <c r="I3" s="3"/>
      <c r="J3" s="3"/>
      <c r="K3" s="3"/>
      <c r="L3" s="72">
        <v>43252</v>
      </c>
      <c r="M3" s="43">
        <v>30.5</v>
      </c>
      <c r="O3" s="11" t="s">
        <v>58</v>
      </c>
      <c r="Q3" s="221">
        <f>IF(Q2=0, Q4, (F29-K29-M29)/Q2)</f>
        <v>47.110650000000007</v>
      </c>
      <c r="T3" s="29">
        <v>42565</v>
      </c>
      <c r="U3" t="s">
        <v>232</v>
      </c>
    </row>
    <row r="4" spans="1:21" x14ac:dyDescent="0.25">
      <c r="B4" s="474">
        <v>43278</v>
      </c>
      <c r="C4" s="4">
        <v>50</v>
      </c>
      <c r="D4" s="3">
        <v>49.88</v>
      </c>
      <c r="E4" s="3">
        <v>0</v>
      </c>
      <c r="F4" s="3">
        <f>C4*D4+E4</f>
        <v>2494</v>
      </c>
      <c r="G4" s="72"/>
      <c r="H4" s="176"/>
      <c r="I4" s="3"/>
      <c r="J4" s="3"/>
      <c r="K4" s="3"/>
      <c r="L4" s="4"/>
      <c r="M4" s="4"/>
      <c r="O4" s="11" t="s">
        <v>66</v>
      </c>
      <c r="Q4" s="192">
        <v>50.51</v>
      </c>
      <c r="R4" s="494">
        <v>1.8599999999999998E-2</v>
      </c>
      <c r="T4" s="29">
        <v>42568</v>
      </c>
      <c r="U4" t="s">
        <v>241</v>
      </c>
    </row>
    <row r="5" spans="1:21" x14ac:dyDescent="0.25">
      <c r="B5" s="474">
        <v>43279</v>
      </c>
      <c r="C5" s="4">
        <v>50</v>
      </c>
      <c r="D5" s="3">
        <v>49.08</v>
      </c>
      <c r="E5" s="3">
        <v>0</v>
      </c>
      <c r="F5" s="3">
        <f>C5*D5+E5</f>
        <v>2454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10102</v>
      </c>
      <c r="T5" s="29">
        <v>42592</v>
      </c>
      <c r="U5" t="s">
        <v>259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9422.130000000001</v>
      </c>
      <c r="T6" s="29">
        <v>42647</v>
      </c>
      <c r="U6" t="s">
        <v>263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1878.3399999999961</v>
      </c>
      <c r="R7">
        <v>100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679.86999999999898</v>
      </c>
      <c r="R8" s="411"/>
      <c r="T8" s="29">
        <v>43202</v>
      </c>
      <c r="U8" t="s">
        <v>998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208</v>
      </c>
      <c r="Q9" s="134">
        <f>IF(Q2=0, 0, Q8/Q6)</f>
        <v>7.2156720401862315E-2</v>
      </c>
      <c r="T9" s="29"/>
      <c r="U9" s="475" t="s">
        <v>999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207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2.4153632943971493E-2</v>
      </c>
      <c r="R11">
        <f>0.305</f>
        <v>0.30499999999999999</v>
      </c>
      <c r="T11" s="29">
        <v>43257</v>
      </c>
      <c r="U11" t="s">
        <v>1121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995</v>
      </c>
      <c r="Q12" s="1" t="s">
        <v>1177</v>
      </c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973</v>
      </c>
      <c r="Q13" s="2">
        <f>Q4/5.81</f>
        <v>8.693631669535284</v>
      </c>
      <c r="T13" s="29">
        <v>43288</v>
      </c>
      <c r="U13" t="s">
        <v>1180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1182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1181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1183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1184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1187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3" spans="1:21" x14ac:dyDescent="0.25">
      <c r="T23" s="156">
        <v>43298</v>
      </c>
      <c r="U23" t="s">
        <v>1185</v>
      </c>
    </row>
    <row r="24" spans="1:21" x14ac:dyDescent="0.25">
      <c r="T24" s="67"/>
    </row>
    <row r="25" spans="1:21" x14ac:dyDescent="0.25">
      <c r="T25" s="156">
        <v>43307</v>
      </c>
      <c r="U25" t="s">
        <v>1186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300</v>
      </c>
      <c r="D29" s="18"/>
      <c r="E29" s="18"/>
      <c r="F29" s="18">
        <f>SUM(F2:F19)</f>
        <v>15061</v>
      </c>
      <c r="G29" s="14"/>
      <c r="H29" s="71">
        <f>SUM(H2:H28)</f>
        <v>100</v>
      </c>
      <c r="I29" s="18"/>
      <c r="J29" s="18"/>
      <c r="K29" s="18">
        <f>SUM(K2:K28)</f>
        <v>5577.87</v>
      </c>
      <c r="L29" s="14"/>
      <c r="M29" s="18">
        <f>SUM(M2:M28)</f>
        <v>61</v>
      </c>
    </row>
    <row r="30" spans="1:21" ht="15.75" thickBot="1" x14ac:dyDescent="0.3">
      <c r="A30" s="341" t="s">
        <v>193</v>
      </c>
      <c r="B30" s="342"/>
      <c r="C30" s="343">
        <f>SumByColor($A$30,C2:C28)</f>
        <v>100</v>
      </c>
      <c r="D30" s="343"/>
      <c r="E30" s="343"/>
      <c r="F30" s="344">
        <f>SumByColor($A$30,F2:F28)</f>
        <v>4958</v>
      </c>
      <c r="G30" s="343"/>
      <c r="H30" s="343">
        <f>SumByColor($A$30,H3:H28)</f>
        <v>0</v>
      </c>
      <c r="I30" s="343"/>
      <c r="J30" s="343"/>
      <c r="K30" s="344">
        <f>SumByColor($A$30,K3:K28)</f>
        <v>0</v>
      </c>
      <c r="L30" s="343"/>
      <c r="M30" s="344">
        <f>SumByColor($A$30,M2:M28)</f>
        <v>60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46" si="3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3"/>
        <v>657.36999999999955</v>
      </c>
      <c r="G41" s="39">
        <f t="shared" ref="G41" si="4">D41*C41</f>
        <v>4504.63</v>
      </c>
      <c r="H41" s="222">
        <f t="shared" ref="H41" si="5"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3"/>
        <v>967.9000000000002</v>
      </c>
      <c r="G42" s="39">
        <f t="shared" ref="G42:G46" si="6">D42*C42</f>
        <v>4474.1000000000004</v>
      </c>
      <c r="H42" s="222">
        <f t="shared" ref="H42:H46" si="7">(E42-D42)/D42</f>
        <v>0.21633401130953717</v>
      </c>
      <c r="I42" s="39"/>
      <c r="J42" s="39">
        <v>2166</v>
      </c>
      <c r="O42" s="851" t="s">
        <v>78</v>
      </c>
      <c r="P42" s="851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3"/>
        <v>655.99999999999955</v>
      </c>
      <c r="G43" s="39">
        <f t="shared" si="6"/>
        <v>4474</v>
      </c>
      <c r="H43" s="222">
        <f t="shared" si="7"/>
        <v>0.1466249441215913</v>
      </c>
      <c r="I43" s="39"/>
      <c r="J43" s="39">
        <v>1855</v>
      </c>
      <c r="O43" s="81">
        <v>1.1000000000000001</v>
      </c>
      <c r="P43" s="81">
        <f>O43*$Q$4</f>
        <v>55.561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3"/>
        <v>515.37000000000012</v>
      </c>
      <c r="G44" s="39">
        <f t="shared" si="6"/>
        <v>6968.13</v>
      </c>
      <c r="H44" s="222">
        <f t="shared" si="7"/>
        <v>7.3961019670987782E-2</v>
      </c>
      <c r="I44" s="39"/>
      <c r="J44" s="39">
        <v>1714</v>
      </c>
      <c r="O44" s="81">
        <v>1.0900000000000001</v>
      </c>
      <c r="P44" s="81">
        <f t="shared" ref="P44:P63" si="8">O44*$Q$4</f>
        <v>55.055900000000001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3"/>
        <v>537.85999999999922</v>
      </c>
      <c r="G45" s="39">
        <f t="shared" si="6"/>
        <v>9422.14</v>
      </c>
      <c r="H45" s="222">
        <f t="shared" si="7"/>
        <v>5.7084696257962537E-2</v>
      </c>
      <c r="I45" s="39"/>
      <c r="J45" s="39">
        <v>1736</v>
      </c>
      <c r="O45" s="81">
        <v>1.08</v>
      </c>
      <c r="P45" s="81">
        <f t="shared" si="8"/>
        <v>54.550800000000002</v>
      </c>
      <c r="Q45" s="2"/>
    </row>
    <row r="46" spans="1:17" x14ac:dyDescent="0.25">
      <c r="A46">
        <v>100</v>
      </c>
      <c r="B46" s="184">
        <v>43283</v>
      </c>
      <c r="C46" s="10">
        <v>200</v>
      </c>
      <c r="D46" s="39">
        <v>47.110700000000001</v>
      </c>
      <c r="E46" s="39">
        <v>49.92</v>
      </c>
      <c r="F46" s="39">
        <f t="shared" si="3"/>
        <v>561.86000000000013</v>
      </c>
      <c r="G46" s="39">
        <f t="shared" si="6"/>
        <v>9422.14</v>
      </c>
      <c r="H46" s="222">
        <f t="shared" si="7"/>
        <v>5.9631888297138447E-2</v>
      </c>
      <c r="I46" s="39"/>
      <c r="J46" s="39">
        <v>1760</v>
      </c>
      <c r="O46" s="81">
        <v>1.07</v>
      </c>
      <c r="P46" s="81">
        <f t="shared" si="8"/>
        <v>54.045700000000004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O47" s="81">
        <v>1.06</v>
      </c>
      <c r="P47" s="81">
        <f t="shared" si="8"/>
        <v>53.540599999999998</v>
      </c>
      <c r="Q47" s="2"/>
    </row>
    <row r="48" spans="1:17" x14ac:dyDescent="0.25">
      <c r="B48" s="184"/>
      <c r="C48" s="271"/>
      <c r="D48" s="326"/>
      <c r="E48" s="39"/>
      <c r="F48" s="39"/>
      <c r="G48" s="39"/>
      <c r="H48" s="222"/>
      <c r="I48" s="39"/>
      <c r="J48" s="39"/>
      <c r="O48" s="81">
        <v>1.05</v>
      </c>
      <c r="P48" s="81">
        <f t="shared" si="8"/>
        <v>53.035499999999999</v>
      </c>
      <c r="Q48" s="2"/>
    </row>
    <row r="49" spans="2:17" x14ac:dyDescent="0.25">
      <c r="B49" s="184"/>
      <c r="C49" s="271"/>
      <c r="D49" s="326"/>
      <c r="E49" s="39"/>
      <c r="F49" s="39"/>
      <c r="G49" s="39"/>
      <c r="H49" s="222"/>
      <c r="I49" s="39"/>
      <c r="J49" s="39"/>
      <c r="O49" s="81">
        <v>1.04</v>
      </c>
      <c r="P49" s="81">
        <f t="shared" si="8"/>
        <v>52.5304</v>
      </c>
      <c r="Q49" s="2"/>
    </row>
    <row r="50" spans="2:17" x14ac:dyDescent="0.25">
      <c r="B50" s="184"/>
      <c r="C50" s="271"/>
      <c r="D50" s="326"/>
      <c r="E50" s="39"/>
      <c r="F50" s="39"/>
      <c r="G50" s="39"/>
      <c r="H50" s="222"/>
      <c r="I50" s="39"/>
      <c r="J50" s="39"/>
      <c r="O50" s="81">
        <v>1.03</v>
      </c>
      <c r="P50" s="81">
        <f t="shared" si="8"/>
        <v>52.025300000000001</v>
      </c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O51" s="81">
        <v>1.02</v>
      </c>
      <c r="P51" s="81">
        <f>O51*$Q$4</f>
        <v>51.520199999999996</v>
      </c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O52" s="81">
        <v>1.01</v>
      </c>
      <c r="P52" s="81">
        <f t="shared" si="8"/>
        <v>51.015099999999997</v>
      </c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O53" s="81">
        <v>1</v>
      </c>
      <c r="P53" s="81">
        <f t="shared" si="8"/>
        <v>50.51</v>
      </c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8"/>
        <v>50.004899999999999</v>
      </c>
    </row>
    <row r="55" spans="2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8"/>
        <v>49.4998</v>
      </c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8"/>
        <v>48.994699999999995</v>
      </c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8"/>
        <v>48.489599999999996</v>
      </c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8"/>
        <v>47.984499999999997</v>
      </c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8"/>
        <v>47.479399999999998</v>
      </c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8"/>
        <v>46.974299999999999</v>
      </c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8"/>
        <v>46.469200000000001</v>
      </c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8"/>
        <v>45.964100000000002</v>
      </c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8"/>
        <v>45.458999999999996</v>
      </c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207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9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9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9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9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9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9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9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9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9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10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9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10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9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10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9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10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10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10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10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11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11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11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11"/>
        <v>-357.95999999999992</v>
      </c>
      <c r="G163" s="251">
        <f t="shared" ref="G163:G212" si="12">D163*C163</f>
        <v>8471.9599999999991</v>
      </c>
      <c r="H163" s="265">
        <f t="shared" ref="H163:H212" si="13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11"/>
        <v>-723.96000000000095</v>
      </c>
      <c r="G164" s="251">
        <f t="shared" si="12"/>
        <v>12456.960000000001</v>
      </c>
      <c r="H164" s="265">
        <f t="shared" si="13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11"/>
        <v>-1033.9599999999991</v>
      </c>
      <c r="G165" s="251">
        <f t="shared" si="12"/>
        <v>16241.960000000001</v>
      </c>
      <c r="H165" s="265">
        <f t="shared" si="13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11"/>
        <v>-773.95999999999958</v>
      </c>
      <c r="G166" s="251">
        <f t="shared" si="12"/>
        <v>16241.960000000001</v>
      </c>
      <c r="H166" s="265">
        <f t="shared" si="13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11"/>
        <v>-687.9499999999972</v>
      </c>
      <c r="G167" s="251">
        <f t="shared" si="12"/>
        <v>19842.949999999997</v>
      </c>
      <c r="H167" s="265">
        <f t="shared" si="13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11"/>
        <v>-2153.5499999999993</v>
      </c>
      <c r="G168" s="251">
        <f t="shared" si="12"/>
        <v>19743.55</v>
      </c>
      <c r="H168" s="265">
        <f t="shared" si="13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11"/>
        <v>-3115.5599999999995</v>
      </c>
      <c r="G169" s="251">
        <f t="shared" si="12"/>
        <v>23131.559999999998</v>
      </c>
      <c r="H169" s="265">
        <f t="shared" si="13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11"/>
        <v>-2329.5599999999977</v>
      </c>
      <c r="G170" s="251">
        <f t="shared" si="12"/>
        <v>23131.559999999998</v>
      </c>
      <c r="H170" s="265">
        <f t="shared" si="13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11"/>
        <v>-1069.559999999997</v>
      </c>
      <c r="G171" s="251">
        <f t="shared" si="12"/>
        <v>23131.559999999998</v>
      </c>
      <c r="H171" s="265">
        <f t="shared" si="13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11"/>
        <v>-1759.5600000000004</v>
      </c>
      <c r="G172" s="251">
        <f t="shared" si="12"/>
        <v>23131.559999999998</v>
      </c>
      <c r="H172" s="265">
        <f t="shared" si="13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11"/>
        <v>-709.5600000000004</v>
      </c>
      <c r="G173" s="251">
        <f t="shared" si="12"/>
        <v>23131.559999999998</v>
      </c>
      <c r="H173" s="265">
        <f t="shared" si="13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11"/>
        <v>-259.56000000000046</v>
      </c>
      <c r="G174" s="251">
        <f t="shared" si="12"/>
        <v>23131.559999999998</v>
      </c>
      <c r="H174" s="265">
        <f t="shared" si="13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11"/>
        <v>907.39999999999907</v>
      </c>
      <c r="G175" s="251">
        <f t="shared" si="12"/>
        <v>19197.600000000002</v>
      </c>
      <c r="H175" s="265">
        <f t="shared" si="13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11"/>
        <v>842.27999999999952</v>
      </c>
      <c r="G176" s="251">
        <f t="shared" si="12"/>
        <v>15149.72</v>
      </c>
      <c r="H176" s="265">
        <f t="shared" si="13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11"/>
        <v>890.28000000000134</v>
      </c>
      <c r="G177" s="251">
        <f t="shared" si="12"/>
        <v>15149.72</v>
      </c>
      <c r="H177" s="265">
        <f t="shared" si="13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11"/>
        <v>1062.2800000000011</v>
      </c>
      <c r="G178" s="251">
        <f t="shared" si="12"/>
        <v>15149.72</v>
      </c>
      <c r="H178" s="265">
        <f t="shared" si="13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11"/>
        <v>1021.2000000000011</v>
      </c>
      <c r="G179" s="251">
        <f t="shared" si="12"/>
        <v>11041.8</v>
      </c>
      <c r="H179" s="265">
        <f t="shared" si="13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11"/>
        <v>511.21000000000231</v>
      </c>
      <c r="G180" s="251">
        <f t="shared" si="12"/>
        <v>12970.789999999999</v>
      </c>
      <c r="H180" s="265">
        <f t="shared" si="13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11"/>
        <v>665.21000000000151</v>
      </c>
      <c r="G181" s="251">
        <f t="shared" si="12"/>
        <v>12970.789999999999</v>
      </c>
      <c r="H181" s="265">
        <f t="shared" si="13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11"/>
        <v>689.71000000000163</v>
      </c>
      <c r="G182" s="251">
        <f t="shared" si="12"/>
        <v>12970.789999999999</v>
      </c>
      <c r="H182" s="265">
        <f t="shared" si="13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11"/>
        <v>916.16999999999962</v>
      </c>
      <c r="G183" s="251">
        <f t="shared" si="12"/>
        <v>10981.83</v>
      </c>
      <c r="H183" s="265">
        <f t="shared" si="13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11"/>
        <v>631.64499999999884</v>
      </c>
      <c r="G184" s="251">
        <f t="shared" si="12"/>
        <v>12930.855000000001</v>
      </c>
      <c r="H184" s="265">
        <f t="shared" si="13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11"/>
        <v>-258.84000000000071</v>
      </c>
      <c r="G185" s="251">
        <f t="shared" si="12"/>
        <v>14814.84</v>
      </c>
      <c r="H185" s="265">
        <f t="shared" si="13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11"/>
        <v>-46.840000000000259</v>
      </c>
      <c r="G186" s="251">
        <f t="shared" si="12"/>
        <v>14814.84</v>
      </c>
      <c r="H186" s="265">
        <f t="shared" si="13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11"/>
        <v>189.15999999999826</v>
      </c>
      <c r="G187" s="251">
        <f t="shared" si="12"/>
        <v>14814.84</v>
      </c>
      <c r="H187" s="265">
        <f t="shared" si="13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11"/>
        <v>13.159999999999172</v>
      </c>
      <c r="G188" s="251">
        <f t="shared" si="12"/>
        <v>14814.84</v>
      </c>
      <c r="H188" s="265">
        <f t="shared" si="13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11"/>
        <v>-106.83999999999969</v>
      </c>
      <c r="G189" s="251">
        <f t="shared" si="12"/>
        <v>14814.84</v>
      </c>
      <c r="H189" s="265">
        <f t="shared" si="13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11"/>
        <v>-170.84000000000117</v>
      </c>
      <c r="G190" s="251">
        <f t="shared" si="12"/>
        <v>14814.84</v>
      </c>
      <c r="H190" s="265">
        <f t="shared" si="13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11"/>
        <v>-138.84000000000185</v>
      </c>
      <c r="G191" s="251">
        <f t="shared" si="12"/>
        <v>14814.84</v>
      </c>
      <c r="H191" s="265">
        <f t="shared" si="13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11"/>
        <v>-106.83999999999969</v>
      </c>
      <c r="G192" s="251">
        <f t="shared" si="12"/>
        <v>14814.84</v>
      </c>
      <c r="H192" s="265">
        <f t="shared" si="13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11"/>
        <v>-226.8400000000014</v>
      </c>
      <c r="G193" s="251">
        <f t="shared" si="12"/>
        <v>14814.84</v>
      </c>
      <c r="H193" s="265">
        <f t="shared" si="13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11"/>
        <v>-194.84000000000208</v>
      </c>
      <c r="G194" s="251">
        <f t="shared" si="12"/>
        <v>14814.84</v>
      </c>
      <c r="H194" s="265">
        <f t="shared" si="13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11"/>
        <v>49.159999999997694</v>
      </c>
      <c r="G195" s="251">
        <f t="shared" si="12"/>
        <v>14814.84</v>
      </c>
      <c r="H195" s="265">
        <f t="shared" si="13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11"/>
        <v>-86.840000000000828</v>
      </c>
      <c r="G196" s="251">
        <f t="shared" si="12"/>
        <v>14814.84</v>
      </c>
      <c r="H196" s="265">
        <f t="shared" si="13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11"/>
        <v>53.159999999999741</v>
      </c>
      <c r="G197" s="251">
        <f t="shared" si="12"/>
        <v>14814.84</v>
      </c>
      <c r="H197" s="265">
        <f t="shared" si="13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11"/>
        <v>134.15999999999997</v>
      </c>
      <c r="G198" s="251">
        <f t="shared" si="12"/>
        <v>14733.84</v>
      </c>
      <c r="H198" s="265">
        <f t="shared" si="13"/>
        <v>9.1055692202440079E-3</v>
      </c>
      <c r="I198" s="251" t="s">
        <v>260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11"/>
        <v>-5.8400000000006003</v>
      </c>
      <c r="G199" s="251">
        <f t="shared" si="12"/>
        <v>14733.84</v>
      </c>
      <c r="H199" s="265">
        <f t="shared" si="13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11"/>
        <v>790.15999999999872</v>
      </c>
      <c r="G200" s="251">
        <f t="shared" si="12"/>
        <v>12824.84</v>
      </c>
      <c r="H200" s="265">
        <f t="shared" si="13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11"/>
        <v>789.18000000000029</v>
      </c>
      <c r="G201" s="251">
        <f t="shared" si="12"/>
        <v>10880.82</v>
      </c>
      <c r="H201" s="265">
        <f t="shared" si="13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11"/>
        <v>798.67499999999939</v>
      </c>
      <c r="G202" s="251">
        <f t="shared" si="12"/>
        <v>8926.3250000000007</v>
      </c>
      <c r="H202" s="265">
        <f t="shared" si="13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11"/>
        <v>511.17499999999973</v>
      </c>
      <c r="G203" s="251">
        <f t="shared" si="12"/>
        <v>8926.3250000000007</v>
      </c>
      <c r="H203" s="265">
        <f t="shared" si="13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11"/>
        <v>683.67499999999916</v>
      </c>
      <c r="G204" s="251">
        <f t="shared" si="12"/>
        <v>8926.3250000000007</v>
      </c>
      <c r="H204" s="265">
        <f t="shared" si="13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11"/>
        <v>353.67499999999905</v>
      </c>
      <c r="G205" s="251">
        <f t="shared" si="12"/>
        <v>8926.3250000000007</v>
      </c>
      <c r="H205" s="265">
        <f t="shared" si="13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11"/>
        <v>266.17500000000052</v>
      </c>
      <c r="G206" s="251">
        <f t="shared" si="12"/>
        <v>8926.3250000000007</v>
      </c>
      <c r="H206" s="265">
        <f t="shared" si="13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11"/>
        <v>466.17499999999978</v>
      </c>
      <c r="G207" s="251">
        <f t="shared" si="12"/>
        <v>8926.3250000000007</v>
      </c>
      <c r="H207" s="265">
        <f t="shared" si="13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11"/>
        <v>586.17499999999905</v>
      </c>
      <c r="G208" s="251">
        <f t="shared" si="12"/>
        <v>8926.3250000000007</v>
      </c>
      <c r="H208" s="265">
        <f t="shared" si="13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11"/>
        <v>698.67499999999973</v>
      </c>
      <c r="G209" s="251">
        <f t="shared" si="12"/>
        <v>8926.3250000000007</v>
      </c>
      <c r="H209" s="265">
        <f t="shared" si="13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11"/>
        <v>768.67499999999995</v>
      </c>
      <c r="G210" s="251">
        <f t="shared" si="12"/>
        <v>8926.3250000000007</v>
      </c>
      <c r="H210" s="265">
        <f t="shared" si="13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11"/>
        <v>583.6749999999995</v>
      </c>
      <c r="G211" s="251">
        <f t="shared" si="12"/>
        <v>8926.3250000000007</v>
      </c>
      <c r="H211" s="265">
        <f t="shared" si="13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11"/>
        <v>876.17499999999995</v>
      </c>
      <c r="G212" s="251">
        <f t="shared" si="12"/>
        <v>8926.3250000000007</v>
      </c>
      <c r="H212" s="265">
        <f t="shared" si="13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45:F59 F61:F91 F93:F102">
    <cfRule type="expression" dxfId="309" priority="61">
      <formula>F45&gt;0</formula>
    </cfRule>
    <cfRule type="expression" dxfId="308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07" priority="63">
      <formula>F44&gt;0</formula>
    </cfRule>
    <cfRule type="expression" dxfId="306" priority="64">
      <formula>F44&lt;0</formula>
    </cfRule>
  </conditionalFormatting>
  <conditionalFormatting sqref="F45:F59 F61:F91 F93:F102">
    <cfRule type="expression" dxfId="305" priority="59">
      <formula>F45&gt;0</formula>
    </cfRule>
    <cfRule type="expression" dxfId="304" priority="60">
      <formula>F45&lt;0</formula>
    </cfRule>
  </conditionalFormatting>
  <conditionalFormatting sqref="H43:H59 H61:H91 H93:H102">
    <cfRule type="expression" dxfId="303" priority="57">
      <formula>H43&gt;0</formula>
    </cfRule>
    <cfRule type="expression" dxfId="302" priority="58">
      <formula>H43&lt;0</formula>
    </cfRule>
  </conditionalFormatting>
  <conditionalFormatting sqref="F36:F43">
    <cfRule type="expression" dxfId="301" priority="55">
      <formula>F36&gt;0</formula>
    </cfRule>
    <cfRule type="expression" dxfId="300" priority="56">
      <formula>F36&lt;0</formula>
    </cfRule>
  </conditionalFormatting>
  <conditionalFormatting sqref="H36:H42">
    <cfRule type="expression" dxfId="299" priority="53">
      <formula>H36&gt;0</formula>
    </cfRule>
    <cfRule type="expression" dxfId="298" priority="54">
      <formula>H36&lt;0</formula>
    </cfRule>
  </conditionalFormatting>
  <conditionalFormatting sqref="Q7">
    <cfRule type="expression" dxfId="297" priority="47">
      <formula>Q7&gt;0</formula>
    </cfRule>
    <cfRule type="expression" dxfId="296" priority="48">
      <formula>Q7&lt;0</formula>
    </cfRule>
  </conditionalFormatting>
  <conditionalFormatting sqref="Q8">
    <cfRule type="expression" dxfId="295" priority="45">
      <formula>Q8&gt;0</formula>
    </cfRule>
    <cfRule type="expression" dxfId="294" priority="46">
      <formula>Q8&lt;0</formula>
    </cfRule>
  </conditionalFormatting>
  <conditionalFormatting sqref="Q10">
    <cfRule type="expression" dxfId="293" priority="43">
      <formula>Q10&gt;0</formula>
    </cfRule>
    <cfRule type="expression" dxfId="292" priority="44">
      <formula>Q10&lt;0</formula>
    </cfRule>
  </conditionalFormatting>
  <conditionalFormatting sqref="F60">
    <cfRule type="expression" dxfId="291" priority="41">
      <formula>F60&gt;0</formula>
    </cfRule>
    <cfRule type="expression" dxfId="290" priority="42">
      <formula>F60&lt;0</formula>
    </cfRule>
  </conditionalFormatting>
  <conditionalFormatting sqref="F60">
    <cfRule type="expression" dxfId="289" priority="39">
      <formula>F60&gt;0</formula>
    </cfRule>
    <cfRule type="expression" dxfId="288" priority="40">
      <formula>F60&lt;0</formula>
    </cfRule>
  </conditionalFormatting>
  <conditionalFormatting sqref="H60">
    <cfRule type="expression" dxfId="287" priority="37">
      <formula>H60&gt;0</formula>
    </cfRule>
    <cfRule type="expression" dxfId="286" priority="38">
      <formula>H60&lt;0</formula>
    </cfRule>
  </conditionalFormatting>
  <conditionalFormatting sqref="F92">
    <cfRule type="expression" dxfId="285" priority="35">
      <formula>F92&gt;0</formula>
    </cfRule>
    <cfRule type="expression" dxfId="284" priority="36">
      <formula>F92&lt;0</formula>
    </cfRule>
  </conditionalFormatting>
  <conditionalFormatting sqref="F92">
    <cfRule type="expression" dxfId="283" priority="33">
      <formula>F92&gt;0</formula>
    </cfRule>
    <cfRule type="expression" dxfId="282" priority="34">
      <formula>F92&lt;0</formula>
    </cfRule>
  </conditionalFormatting>
  <conditionalFormatting sqref="H92">
    <cfRule type="expression" dxfId="281" priority="31">
      <formula>H92&gt;0</formula>
    </cfRule>
    <cfRule type="expression" dxfId="280" priority="32">
      <formula>H92&lt;0</formula>
    </cfRule>
  </conditionalFormatting>
  <conditionalFormatting sqref="F169:F183 F185:F215 F217:F226">
    <cfRule type="expression" dxfId="279" priority="27">
      <formula>F169&gt;0</formula>
    </cfRule>
    <cfRule type="expression" dxfId="278" priority="28">
      <formula>F169&lt;0</formula>
    </cfRule>
  </conditionalFormatting>
  <conditionalFormatting sqref="F164:F168">
    <cfRule type="expression" dxfId="277" priority="29">
      <formula>F164&gt;0</formula>
    </cfRule>
    <cfRule type="expression" dxfId="276" priority="30">
      <formula>F164&lt;0</formula>
    </cfRule>
  </conditionalFormatting>
  <conditionalFormatting sqref="F169:F183 F185:F215 F217:F226">
    <cfRule type="expression" dxfId="275" priority="25">
      <formula>F169&gt;0</formula>
    </cfRule>
    <cfRule type="expression" dxfId="274" priority="26">
      <formula>F169&lt;0</formula>
    </cfRule>
  </conditionalFormatting>
  <conditionalFormatting sqref="H164:H183 H185:H215 H217:H226">
    <cfRule type="expression" dxfId="273" priority="23">
      <formula>H164&gt;0</formula>
    </cfRule>
    <cfRule type="expression" dxfId="272" priority="24">
      <formula>H164&lt;0</formula>
    </cfRule>
  </conditionalFormatting>
  <conditionalFormatting sqref="F160:F163">
    <cfRule type="expression" dxfId="271" priority="21">
      <formula>F160&gt;0</formula>
    </cfRule>
    <cfRule type="expression" dxfId="270" priority="22">
      <formula>F160&lt;0</formula>
    </cfRule>
  </conditionalFormatting>
  <conditionalFormatting sqref="H160:H163">
    <cfRule type="expression" dxfId="269" priority="19">
      <formula>H160&gt;0</formula>
    </cfRule>
    <cfRule type="expression" dxfId="268" priority="20">
      <formula>H160&lt;0</formula>
    </cfRule>
  </conditionalFormatting>
  <conditionalFormatting sqref="F184">
    <cfRule type="expression" dxfId="267" priority="17">
      <formula>F184&gt;0</formula>
    </cfRule>
    <cfRule type="expression" dxfId="266" priority="18">
      <formula>F184&lt;0</formula>
    </cfRule>
  </conditionalFormatting>
  <conditionalFormatting sqref="F184">
    <cfRule type="expression" dxfId="265" priority="15">
      <formula>F184&gt;0</formula>
    </cfRule>
    <cfRule type="expression" dxfId="264" priority="16">
      <formula>F184&lt;0</formula>
    </cfRule>
  </conditionalFormatting>
  <conditionalFormatting sqref="H184">
    <cfRule type="expression" dxfId="263" priority="13">
      <formula>H184&gt;0</formula>
    </cfRule>
    <cfRule type="expression" dxfId="262" priority="14">
      <formula>H184&lt;0</formula>
    </cfRule>
  </conditionalFormatting>
  <conditionalFormatting sqref="F216">
    <cfRule type="expression" dxfId="261" priority="11">
      <formula>F216&gt;0</formula>
    </cfRule>
    <cfRule type="expression" dxfId="260" priority="12">
      <formula>F216&lt;0</formula>
    </cfRule>
  </conditionalFormatting>
  <conditionalFormatting sqref="F216">
    <cfRule type="expression" dxfId="259" priority="9">
      <formula>F216&gt;0</formula>
    </cfRule>
    <cfRule type="expression" dxfId="258" priority="10">
      <formula>F216&lt;0</formula>
    </cfRule>
  </conditionalFormatting>
  <conditionalFormatting sqref="H216">
    <cfRule type="expression" dxfId="257" priority="7">
      <formula>H216&gt;0</formula>
    </cfRule>
    <cfRule type="expression" dxfId="256" priority="8">
      <formula>H216&lt;0</formula>
    </cfRule>
  </conditionalFormatting>
  <conditionalFormatting sqref="J38:J39">
    <cfRule type="expression" dxfId="255" priority="5">
      <formula>J38&gt;0</formula>
    </cfRule>
    <cfRule type="expression" dxfId="254" priority="6">
      <formula>J38&lt;0</formula>
    </cfRule>
  </conditionalFormatting>
  <conditionalFormatting sqref="J41:J51">
    <cfRule type="expression" dxfId="253" priority="3">
      <formula>J41&gt;0</formula>
    </cfRule>
    <cfRule type="expression" dxfId="252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329</v>
      </c>
      <c r="B2" s="434">
        <v>43116</v>
      </c>
      <c r="C2" s="7">
        <v>100</v>
      </c>
      <c r="D2" s="43">
        <v>21.28</v>
      </c>
      <c r="E2" s="43">
        <v>0</v>
      </c>
      <c r="F2" s="43">
        <f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0</v>
      </c>
      <c r="T2" s="1">
        <v>43080</v>
      </c>
      <c r="U2" t="s">
        <v>771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>C3*D3+E3</f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24.25</v>
      </c>
      <c r="T3" s="1">
        <v>43088</v>
      </c>
      <c r="U3" t="s">
        <v>776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>C4*D4+E4</f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24.25</v>
      </c>
      <c r="R4" s="475">
        <v>5.0000000000000001E-3</v>
      </c>
      <c r="U4" t="s">
        <v>777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>C5*D5+E5</f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>C6*D6+E6</f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0</v>
      </c>
    </row>
    <row r="7" spans="1:29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1211.7400000000052</v>
      </c>
      <c r="R7">
        <v>0</v>
      </c>
      <c r="T7" s="1">
        <v>43103</v>
      </c>
      <c r="U7" t="s">
        <v>841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926.77000000000044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U9" t="s">
        <v>930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207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992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946</v>
      </c>
      <c r="T12" s="1">
        <v>43223</v>
      </c>
      <c r="U12" t="s">
        <v>1049</v>
      </c>
    </row>
    <row r="13" spans="1:29" x14ac:dyDescent="0.25">
      <c r="O13" s="11" t="s">
        <v>973</v>
      </c>
      <c r="Q13" s="2">
        <f>Q4/2.45</f>
        <v>9.8979591836734695</v>
      </c>
      <c r="U13" t="s">
        <v>1051</v>
      </c>
    </row>
    <row r="15" spans="1:29" x14ac:dyDescent="0.25">
      <c r="T15" s="1">
        <v>43224</v>
      </c>
      <c r="U15" t="s">
        <v>1055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600</v>
      </c>
      <c r="D17" s="18"/>
      <c r="E17" s="18"/>
      <c r="F17" s="18">
        <f>SUM(F2:F16)</f>
        <v>11221</v>
      </c>
      <c r="G17" s="14"/>
      <c r="H17" s="71">
        <f>SUM(H2:H10)</f>
        <v>600</v>
      </c>
      <c r="I17" s="18"/>
      <c r="J17" s="18"/>
      <c r="K17" s="18">
        <f>SUM(K2:K16)</f>
        <v>12147.77</v>
      </c>
      <c r="L17" s="14"/>
      <c r="M17" s="18">
        <f>SUM(M2:M16)</f>
        <v>0</v>
      </c>
      <c r="O17" s="81">
        <v>1.1000000000000001</v>
      </c>
      <c r="P17" s="81">
        <f>O17*$Q$4</f>
        <v>26.675000000000001</v>
      </c>
      <c r="T17" s="1">
        <v>43235</v>
      </c>
      <c r="U17" t="s">
        <v>1080</v>
      </c>
    </row>
    <row r="18" spans="1:21" ht="15.75" thickBot="1" x14ac:dyDescent="0.3">
      <c r="A18" s="341" t="s">
        <v>193</v>
      </c>
      <c r="B18" s="342"/>
      <c r="C18" s="343">
        <f>SumByColor($A$18,C2:C16)</f>
        <v>600</v>
      </c>
      <c r="D18" s="343"/>
      <c r="E18" s="343"/>
      <c r="F18" s="344">
        <f>SumByColor($A$18,F2:F16)</f>
        <v>11221</v>
      </c>
      <c r="G18" s="343"/>
      <c r="H18" s="343">
        <f>SumByColor($A$18,H2:H16)</f>
        <v>600</v>
      </c>
      <c r="I18" s="343"/>
      <c r="J18" s="343"/>
      <c r="K18" s="344">
        <f>SumByColor($A$18,K3:K16)</f>
        <v>8142</v>
      </c>
      <c r="L18" s="343"/>
      <c r="M18" s="344">
        <f>SumByColor($A$18,M2:M16)</f>
        <v>0</v>
      </c>
      <c r="O18" s="81">
        <v>1.0900000000000001</v>
      </c>
      <c r="P18" s="81">
        <f t="shared" ref="P18:P37" si="0">O18*$Q$4</f>
        <v>26.432500000000001</v>
      </c>
      <c r="U18" t="s">
        <v>1081</v>
      </c>
    </row>
    <row r="19" spans="1:21" x14ac:dyDescent="0.25">
      <c r="O19" s="81">
        <v>1.08</v>
      </c>
      <c r="P19" s="81">
        <f t="shared" si="0"/>
        <v>26.19</v>
      </c>
    </row>
    <row r="20" spans="1:21" x14ac:dyDescent="0.25">
      <c r="A20" s="182" t="s">
        <v>229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497</v>
      </c>
      <c r="O20" s="81">
        <v>1.07</v>
      </c>
      <c r="P20" s="81">
        <f t="shared" si="0"/>
        <v>25.947500000000002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1">C21*(E21-D21)</f>
        <v>12.999999999999901</v>
      </c>
      <c r="G21" s="39">
        <f t="shared" ref="G21:G27" si="2">D21*C21</f>
        <v>2128</v>
      </c>
      <c r="H21" s="222">
        <f t="shared" ref="H21:H27" si="3">(E21-D21)/D21</f>
        <v>6.1090225563909303E-3</v>
      </c>
      <c r="I21" s="222"/>
      <c r="J21" s="222"/>
      <c r="K21" s="222"/>
      <c r="O21" s="81">
        <v>1.06</v>
      </c>
      <c r="P21" s="81">
        <f t="shared" si="0"/>
        <v>25.705000000000002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1"/>
        <v>-71.000000000000085</v>
      </c>
      <c r="G22" s="39">
        <f t="shared" si="2"/>
        <v>2128</v>
      </c>
      <c r="H22" s="222">
        <f t="shared" si="3"/>
        <v>-3.3364661654135375E-2</v>
      </c>
      <c r="I22" s="222"/>
      <c r="J22" s="222"/>
      <c r="K22" s="222"/>
      <c r="O22" s="81">
        <v>1.05</v>
      </c>
      <c r="P22" s="81">
        <f t="shared" si="0"/>
        <v>25.462500000000002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1"/>
        <v>-247.99999999999969</v>
      </c>
      <c r="G23" s="39">
        <f t="shared" si="2"/>
        <v>3976</v>
      </c>
      <c r="H23" s="222">
        <f t="shared" si="3"/>
        <v>-6.2374245472836945E-2</v>
      </c>
      <c r="I23" s="222"/>
      <c r="J23" s="222"/>
      <c r="K23" s="222"/>
      <c r="O23" s="81">
        <v>1.04</v>
      </c>
      <c r="P23" s="81">
        <f t="shared" si="0"/>
        <v>25.220000000000002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1"/>
        <v>203.99999999999991</v>
      </c>
      <c r="G24" s="39">
        <f t="shared" si="2"/>
        <v>3976</v>
      </c>
      <c r="H24" s="222">
        <f t="shared" si="3"/>
        <v>5.1307847082494952E-2</v>
      </c>
      <c r="I24" s="222"/>
      <c r="J24" s="727">
        <v>489</v>
      </c>
      <c r="K24" s="727"/>
      <c r="O24" s="81">
        <v>1.03</v>
      </c>
      <c r="P24" s="81">
        <f t="shared" si="0"/>
        <v>24.977499999999999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1"/>
        <v>-15.990000000000038</v>
      </c>
      <c r="G25" s="39">
        <f t="shared" si="2"/>
        <v>5955.9900000000007</v>
      </c>
      <c r="H25" s="222">
        <f t="shared" si="3"/>
        <v>-2.6846922174147431E-3</v>
      </c>
      <c r="I25" s="223"/>
      <c r="J25" s="727">
        <v>269</v>
      </c>
      <c r="K25" s="727"/>
      <c r="O25" s="81">
        <v>1.02</v>
      </c>
      <c r="P25" s="81">
        <f t="shared" si="0"/>
        <v>24.734999999999999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1"/>
        <v>-141.99000000000055</v>
      </c>
      <c r="G26" s="39">
        <f t="shared" si="2"/>
        <v>5955.9900000000007</v>
      </c>
      <c r="H26" s="222">
        <f t="shared" si="3"/>
        <v>-2.3839865412803002E-2</v>
      </c>
      <c r="I26" s="223"/>
      <c r="J26" s="727">
        <v>143</v>
      </c>
      <c r="K26" s="727"/>
      <c r="O26" s="81">
        <v>1.01</v>
      </c>
      <c r="P26" s="81">
        <f t="shared" si="0"/>
        <v>24.4925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1"/>
        <v>-567.00000000000023</v>
      </c>
      <c r="G27" s="39">
        <f t="shared" si="2"/>
        <v>7731</v>
      </c>
      <c r="H27" s="223">
        <f t="shared" si="3"/>
        <v>-7.3341094295692688E-2</v>
      </c>
      <c r="I27" s="223"/>
      <c r="J27" s="727">
        <v>-282</v>
      </c>
      <c r="K27" s="727"/>
      <c r="O27" s="81">
        <v>1</v>
      </c>
      <c r="P27" s="81">
        <f t="shared" si="0"/>
        <v>24.25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" si="4">C28*(E28-D28)</f>
        <v>-982.99999999999977</v>
      </c>
      <c r="G28" s="39">
        <f t="shared" ref="G28" si="5">D28*C28</f>
        <v>7731</v>
      </c>
      <c r="H28" s="223">
        <f t="shared" ref="H28" si="6">(E28-D28)/D28</f>
        <v>-0.12715043332039838</v>
      </c>
      <c r="I28" s="223"/>
      <c r="J28" s="727">
        <v>-698</v>
      </c>
      <c r="K28" s="39">
        <v>36.6</v>
      </c>
      <c r="O28" s="81">
        <v>0.99</v>
      </c>
      <c r="P28" s="81">
        <f t="shared" si="0"/>
        <v>24.0075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ref="F29:F33" si="7">C29*(E29-D29)</f>
        <v>-662.99999999999955</v>
      </c>
      <c r="G29" s="39">
        <f t="shared" ref="G29:G33" si="8">D29*C29</f>
        <v>7731</v>
      </c>
      <c r="H29" s="223">
        <f t="shared" ref="H29:H33" si="9">(E29-D29)/D29</f>
        <v>-8.5758634070624701E-2</v>
      </c>
      <c r="I29" s="223"/>
      <c r="J29" s="727">
        <v>-378</v>
      </c>
      <c r="K29" s="39"/>
      <c r="O29" s="81">
        <v>0.98</v>
      </c>
      <c r="P29" s="81">
        <f t="shared" si="0"/>
        <v>23.765000000000001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223">
        <f t="shared" si="9"/>
        <v>7.5407371614184981E-2</v>
      </c>
      <c r="I30" s="223" t="s">
        <v>1052</v>
      </c>
      <c r="J30" s="727">
        <v>566</v>
      </c>
      <c r="K30" s="727"/>
      <c r="O30" s="81">
        <v>0.97</v>
      </c>
      <c r="P30" s="81">
        <f t="shared" si="0"/>
        <v>23.522500000000001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223">
        <f t="shared" si="9"/>
        <v>-4.5625335480407835E-2</v>
      </c>
      <c r="I31" s="223" t="s">
        <v>1053</v>
      </c>
      <c r="J31" s="727">
        <v>116</v>
      </c>
      <c r="K31" s="727"/>
      <c r="O31" s="81">
        <v>0.96</v>
      </c>
      <c r="P31" s="81">
        <f t="shared" si="0"/>
        <v>23.279999999999998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223">
        <f t="shared" si="9"/>
        <v>-1.1514771838981835E-2</v>
      </c>
      <c r="I32" s="223"/>
      <c r="J32" s="727">
        <v>202</v>
      </c>
      <c r="K32" s="727"/>
      <c r="O32" s="81">
        <v>0.95</v>
      </c>
      <c r="P32" s="81">
        <f t="shared" si="0"/>
        <v>23.037499999999998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223">
        <f t="shared" si="9"/>
        <v>-2.2794161976115217E-2</v>
      </c>
      <c r="I33" s="223"/>
      <c r="J33" s="727">
        <v>202</v>
      </c>
      <c r="K33" s="727"/>
      <c r="O33" s="81">
        <v>0.94</v>
      </c>
      <c r="P33" s="81">
        <f t="shared" si="0"/>
        <v>22.794999999999998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ref="F34:F35" si="10">C34*(E34-D34)</f>
        <v>74.000000000000199</v>
      </c>
      <c r="G34" s="39">
        <f t="shared" ref="G34:G35" si="11">D34*C34</f>
        <v>3650</v>
      </c>
      <c r="H34" s="223">
        <f t="shared" ref="H34:H35" si="12">(E34-D34)/D34</f>
        <v>2.0273972602739779E-2</v>
      </c>
      <c r="I34" s="39"/>
      <c r="J34" s="727">
        <v>360</v>
      </c>
      <c r="K34" s="727"/>
      <c r="O34" s="81">
        <v>0.93</v>
      </c>
      <c r="P34" s="81">
        <f t="shared" si="0"/>
        <v>22.552500000000002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10"/>
        <v>410.00000000000011</v>
      </c>
      <c r="G35" s="39">
        <f t="shared" si="11"/>
        <v>3650</v>
      </c>
      <c r="H35" s="223">
        <f t="shared" si="12"/>
        <v>0.11232876712328771</v>
      </c>
      <c r="I35" s="223"/>
      <c r="J35" s="727">
        <v>696</v>
      </c>
      <c r="K35" s="727"/>
      <c r="O35" s="81">
        <v>0.92</v>
      </c>
      <c r="P35" s="81">
        <f t="shared" si="0"/>
        <v>22.310000000000002</v>
      </c>
    </row>
    <row r="36" spans="1:18" x14ac:dyDescent="0.25">
      <c r="A36" s="10"/>
      <c r="B36" s="184">
        <v>43259</v>
      </c>
      <c r="C36" s="10">
        <v>0</v>
      </c>
      <c r="D36" s="39"/>
      <c r="E36" s="39"/>
      <c r="F36" s="39">
        <v>926.77</v>
      </c>
      <c r="G36" s="39"/>
      <c r="H36" s="223"/>
      <c r="I36" s="39"/>
      <c r="J36" s="727">
        <v>1211.74</v>
      </c>
      <c r="K36" s="727"/>
      <c r="O36" s="81">
        <v>0.91</v>
      </c>
      <c r="P36" s="81">
        <f t="shared" si="0"/>
        <v>22.067499999999999</v>
      </c>
    </row>
    <row r="37" spans="1:18" x14ac:dyDescent="0.25">
      <c r="A37" s="10"/>
      <c r="B37" s="184"/>
      <c r="C37" s="10"/>
      <c r="D37" s="39"/>
      <c r="E37" s="39"/>
      <c r="F37" s="39"/>
      <c r="G37" s="39"/>
      <c r="H37" s="223"/>
      <c r="I37" s="39"/>
      <c r="J37" s="727"/>
      <c r="K37" s="727"/>
      <c r="O37" s="81">
        <v>0.9</v>
      </c>
      <c r="P37" s="81">
        <f t="shared" si="0"/>
        <v>21.824999999999999</v>
      </c>
    </row>
    <row r="38" spans="1:18" x14ac:dyDescent="0.25">
      <c r="A38" s="10"/>
      <c r="B38" s="184"/>
      <c r="C38" s="10"/>
      <c r="D38" s="39"/>
      <c r="E38" s="39"/>
      <c r="F38" s="39"/>
      <c r="G38" s="39"/>
      <c r="H38" s="223"/>
      <c r="I38" s="223"/>
      <c r="J38" s="223"/>
      <c r="K38" s="223"/>
    </row>
    <row r="39" spans="1:18" x14ac:dyDescent="0.25">
      <c r="A39" s="10"/>
      <c r="B39" s="184"/>
      <c r="C39" s="10"/>
      <c r="D39" s="39"/>
      <c r="E39" s="39"/>
      <c r="F39" s="39"/>
      <c r="G39" s="39"/>
      <c r="H39" s="223"/>
      <c r="I39" s="193"/>
      <c r="J39" s="193"/>
      <c r="K39" s="193"/>
    </row>
    <row r="40" spans="1:18" x14ac:dyDescent="0.25">
      <c r="A40" s="10"/>
      <c r="B40" s="184"/>
      <c r="C40" s="10"/>
      <c r="D40" s="39"/>
      <c r="E40" s="39"/>
      <c r="F40" s="39"/>
      <c r="G40" s="39"/>
      <c r="H40" s="223"/>
      <c r="I40" s="223"/>
      <c r="J40" s="223"/>
      <c r="K40" s="223"/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Q55" s="81"/>
    </row>
    <row r="56" spans="1:18" x14ac:dyDescent="0.25">
      <c r="Q56" s="81"/>
    </row>
    <row r="57" spans="1:18" x14ac:dyDescent="0.25">
      <c r="L57" t="s">
        <v>209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329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3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4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3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4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3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4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3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4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3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4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3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4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3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4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3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4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3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4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229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360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5">C87*(E87-D87)</f>
        <v>-53.688000000000216</v>
      </c>
      <c r="G87" s="758">
        <f t="shared" ref="G87:G106" si="16">D87*C87</f>
        <v>2532.8879999999999</v>
      </c>
      <c r="H87" s="759">
        <f t="shared" ref="H87:H106" si="17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5"/>
        <v>-150.49599999999998</v>
      </c>
      <c r="G88" s="758">
        <f t="shared" si="16"/>
        <v>4907.2960000000003</v>
      </c>
      <c r="H88" s="760">
        <f t="shared" si="17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5"/>
        <v>31.056000000000097</v>
      </c>
      <c r="G89" s="758">
        <f t="shared" si="16"/>
        <v>2403.3440000000001</v>
      </c>
      <c r="H89" s="760">
        <f t="shared" si="17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5"/>
        <v>300.49599999999998</v>
      </c>
      <c r="G90" s="758">
        <f t="shared" si="16"/>
        <v>2357.1039999999998</v>
      </c>
      <c r="H90" s="760">
        <f t="shared" si="17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5"/>
        <v>-990.89999999999986</v>
      </c>
      <c r="G91" s="758">
        <f t="shared" si="16"/>
        <v>4085.1</v>
      </c>
      <c r="H91" s="760">
        <f t="shared" si="17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5"/>
        <v>-1311.3</v>
      </c>
      <c r="G92" s="758">
        <f t="shared" si="16"/>
        <v>4085.1</v>
      </c>
      <c r="H92" s="760">
        <f t="shared" si="17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5"/>
        <v>-749.14400000000001</v>
      </c>
      <c r="G93" s="758">
        <f t="shared" si="16"/>
        <v>2229.1440000000002</v>
      </c>
      <c r="H93" s="760">
        <f t="shared" si="17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5"/>
        <v>-925.93800000000033</v>
      </c>
      <c r="G94" s="758">
        <f t="shared" si="16"/>
        <v>3984.1379999999999</v>
      </c>
      <c r="H94" s="760">
        <f t="shared" si="17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5"/>
        <v>-642.77000000000021</v>
      </c>
      <c r="G95" s="758">
        <f t="shared" si="16"/>
        <v>2489.77</v>
      </c>
      <c r="H95" s="760">
        <f t="shared" si="17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5"/>
        <v>-538.16399999999976</v>
      </c>
      <c r="G96" s="758">
        <f t="shared" si="16"/>
        <v>3925.7639999999997</v>
      </c>
      <c r="H96" s="760">
        <f t="shared" si="17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5"/>
        <v>-1031.4000000000001</v>
      </c>
      <c r="G97" s="758">
        <f t="shared" si="16"/>
        <v>3925.7999999999997</v>
      </c>
      <c r="H97" s="760">
        <f t="shared" si="17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5"/>
        <v>-1115.3799999999999</v>
      </c>
      <c r="G98" s="758">
        <f t="shared" si="16"/>
        <v>5505.78</v>
      </c>
      <c r="H98" s="760">
        <f t="shared" si="17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5"/>
        <v>-1434.58</v>
      </c>
      <c r="G99" s="758">
        <f t="shared" si="16"/>
        <v>5505.78</v>
      </c>
      <c r="H99" s="760">
        <f t="shared" si="17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5"/>
        <v>-2289.6000000000008</v>
      </c>
      <c r="G100" s="758">
        <f t="shared" si="16"/>
        <v>7761.6</v>
      </c>
      <c r="H100" s="760">
        <f t="shared" si="17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5"/>
        <v>-1871.0440000000003</v>
      </c>
      <c r="G101" s="758">
        <f t="shared" si="16"/>
        <v>5345.8440000000001</v>
      </c>
      <c r="H101" s="760">
        <f t="shared" si="17"/>
        <v>-0.34999973811431839</v>
      </c>
      <c r="I101" s="761" t="s">
        <v>763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5"/>
        <v>-1072.2600000000004</v>
      </c>
      <c r="G102" s="758">
        <f t="shared" si="16"/>
        <v>4124.26</v>
      </c>
      <c r="H102" s="760">
        <f t="shared" si="17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5"/>
        <v>-912.00000000000045</v>
      </c>
      <c r="G103" s="758">
        <f t="shared" si="16"/>
        <v>4124</v>
      </c>
      <c r="H103" s="760">
        <f t="shared" si="17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5"/>
        <v>-964</v>
      </c>
      <c r="G104" s="758">
        <f t="shared" si="16"/>
        <v>4104</v>
      </c>
      <c r="H104" s="760">
        <f t="shared" si="17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5"/>
        <v>-260.04000000000008</v>
      </c>
      <c r="G105" s="758">
        <f t="shared" si="16"/>
        <v>4104.04</v>
      </c>
      <c r="H105" s="760">
        <f t="shared" si="17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5"/>
        <v>200.9999999999998</v>
      </c>
      <c r="G106" s="758">
        <f t="shared" si="16"/>
        <v>1973</v>
      </c>
      <c r="H106" s="760">
        <f t="shared" si="17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51" priority="99">
      <formula>F27&gt;0</formula>
    </cfRule>
    <cfRule type="expression" dxfId="250" priority="100">
      <formula>F27&lt;0</formula>
    </cfRule>
  </conditionalFormatting>
  <conditionalFormatting sqref="H27:H29">
    <cfRule type="expression" dxfId="249" priority="97">
      <formula>H27&gt;0</formula>
    </cfRule>
    <cfRule type="expression" dxfId="248" priority="98">
      <formula>H27&lt;0</formula>
    </cfRule>
  </conditionalFormatting>
  <conditionalFormatting sqref="H30">
    <cfRule type="expression" dxfId="247" priority="93">
      <formula>H30&gt;0</formula>
    </cfRule>
    <cfRule type="expression" dxfId="246" priority="94">
      <formula>H30&lt;0</formula>
    </cfRule>
  </conditionalFormatting>
  <conditionalFormatting sqref="H31:H55">
    <cfRule type="expression" dxfId="245" priority="91">
      <formula>H31&gt;0</formula>
    </cfRule>
    <cfRule type="expression" dxfId="244" priority="92">
      <formula>H31&lt;0</formula>
    </cfRule>
  </conditionalFormatting>
  <conditionalFormatting sqref="F31">
    <cfRule type="expression" dxfId="243" priority="85">
      <formula>F31&gt;0</formula>
    </cfRule>
    <cfRule type="expression" dxfId="242" priority="86">
      <formula>F31&lt;0</formula>
    </cfRule>
  </conditionalFormatting>
  <conditionalFormatting sqref="I25:I29">
    <cfRule type="expression" dxfId="241" priority="83">
      <formula>I25&gt;0</formula>
    </cfRule>
    <cfRule type="expression" dxfId="240" priority="84">
      <formula>I25&lt;0</formula>
    </cfRule>
  </conditionalFormatting>
  <conditionalFormatting sqref="I30:I33 I35 I38:K38 I40:K55">
    <cfRule type="expression" dxfId="239" priority="77">
      <formula>I30&gt;0</formula>
    </cfRule>
    <cfRule type="expression" dxfId="238" priority="78">
      <formula>I30&lt;0</formula>
    </cfRule>
  </conditionalFormatting>
  <conditionalFormatting sqref="I21:K24">
    <cfRule type="expression" dxfId="237" priority="75">
      <formula>I21&gt;0</formula>
    </cfRule>
    <cfRule type="expression" dxfId="236" priority="76">
      <formula>I21&lt;0</formula>
    </cfRule>
  </conditionalFormatting>
  <conditionalFormatting sqref="F32:F55">
    <cfRule type="expression" dxfId="235" priority="73">
      <formula>F32&gt;0</formula>
    </cfRule>
    <cfRule type="expression" dxfId="234" priority="74">
      <formula>F32&lt;0</formula>
    </cfRule>
  </conditionalFormatting>
  <conditionalFormatting sqref="Q8">
    <cfRule type="expression" dxfId="233" priority="69">
      <formula>Q8&gt;0</formula>
    </cfRule>
    <cfRule type="expression" dxfId="232" priority="70">
      <formula>Q8&lt;0</formula>
    </cfRule>
  </conditionalFormatting>
  <conditionalFormatting sqref="Q7">
    <cfRule type="expression" dxfId="231" priority="71">
      <formula>Q7&gt;0</formula>
    </cfRule>
    <cfRule type="expression" dxfId="230" priority="72">
      <formula>Q7&lt;0</formula>
    </cfRule>
  </conditionalFormatting>
  <conditionalFormatting sqref="F82">
    <cfRule type="expression" dxfId="229" priority="57">
      <formula>F82&gt;0</formula>
    </cfRule>
    <cfRule type="expression" dxfId="228" priority="58">
      <formula>F82&lt;0</formula>
    </cfRule>
  </conditionalFormatting>
  <conditionalFormatting sqref="H82">
    <cfRule type="expression" dxfId="227" priority="55">
      <formula>H82&gt;0</formula>
    </cfRule>
    <cfRule type="expression" dxfId="226" priority="56">
      <formula>H82&lt;0</formula>
    </cfRule>
  </conditionalFormatting>
  <conditionalFormatting sqref="I82">
    <cfRule type="expression" dxfId="225" priority="43">
      <formula>I82&gt;0</formula>
    </cfRule>
    <cfRule type="expression" dxfId="224" priority="44">
      <formula>I82&lt;0</formula>
    </cfRule>
  </conditionalFormatting>
  <conditionalFormatting sqref="F25:F26">
    <cfRule type="expression" dxfId="223" priority="39">
      <formula>F25&gt;0</formula>
    </cfRule>
    <cfRule type="expression" dxfId="222" priority="40">
      <formula>F25&lt;0</formula>
    </cfRule>
  </conditionalFormatting>
  <conditionalFormatting sqref="H25:H26">
    <cfRule type="expression" dxfId="221" priority="37">
      <formula>H25&gt;0</formula>
    </cfRule>
    <cfRule type="expression" dxfId="220" priority="38">
      <formula>H25&lt;0</formula>
    </cfRule>
  </conditionalFormatting>
  <conditionalFormatting sqref="F88:F92">
    <cfRule type="expression" dxfId="219" priority="35">
      <formula>F88&gt;0</formula>
    </cfRule>
    <cfRule type="expression" dxfId="218" priority="36">
      <formula>F88&lt;0</formula>
    </cfRule>
  </conditionalFormatting>
  <conditionalFormatting sqref="H88:H90">
    <cfRule type="expression" dxfId="217" priority="33">
      <formula>H88&gt;0</formula>
    </cfRule>
    <cfRule type="expression" dxfId="216" priority="34">
      <formula>H88&lt;0</formula>
    </cfRule>
  </conditionalFormatting>
  <conditionalFormatting sqref="H91:H92">
    <cfRule type="expression" dxfId="215" priority="31">
      <formula>H91&gt;0</formula>
    </cfRule>
    <cfRule type="expression" dxfId="214" priority="32">
      <formula>H91&lt;0</formula>
    </cfRule>
  </conditionalFormatting>
  <conditionalFormatting sqref="H93:H118">
    <cfRule type="expression" dxfId="213" priority="29">
      <formula>H93&gt;0</formula>
    </cfRule>
    <cfRule type="expression" dxfId="212" priority="30">
      <formula>H93&lt;0</formula>
    </cfRule>
  </conditionalFormatting>
  <conditionalFormatting sqref="F83:F86">
    <cfRule type="expression" dxfId="211" priority="27">
      <formula>F83&gt;0</formula>
    </cfRule>
    <cfRule type="expression" dxfId="210" priority="28">
      <formula>F83&lt;0</formula>
    </cfRule>
  </conditionalFormatting>
  <conditionalFormatting sqref="H83:H86">
    <cfRule type="expression" dxfId="209" priority="25">
      <formula>H83&gt;0</formula>
    </cfRule>
    <cfRule type="expression" dxfId="208" priority="26">
      <formula>H83&lt;0</formula>
    </cfRule>
  </conditionalFormatting>
  <conditionalFormatting sqref="F93">
    <cfRule type="expression" dxfId="207" priority="23">
      <formula>F93&gt;0</formula>
    </cfRule>
    <cfRule type="expression" dxfId="206" priority="24">
      <formula>F93&lt;0</formula>
    </cfRule>
  </conditionalFormatting>
  <conditionalFormatting sqref="I87:I89">
    <cfRule type="expression" dxfId="205" priority="21">
      <formula>I87&gt;0</formula>
    </cfRule>
    <cfRule type="expression" dxfId="204" priority="22">
      <formula>I87&lt;0</formula>
    </cfRule>
  </conditionalFormatting>
  <conditionalFormatting sqref="I90">
    <cfRule type="expression" dxfId="203" priority="19">
      <formula>I90&gt;0</formula>
    </cfRule>
    <cfRule type="expression" dxfId="202" priority="20">
      <formula>I90&lt;0</formula>
    </cfRule>
  </conditionalFormatting>
  <conditionalFormatting sqref="I91">
    <cfRule type="expression" dxfId="201" priority="17">
      <formula>I91&gt;0</formula>
    </cfRule>
    <cfRule type="expression" dxfId="200" priority="18">
      <formula>I91&lt;0</formula>
    </cfRule>
  </conditionalFormatting>
  <conditionalFormatting sqref="I92:I95 I97 I100 I102:I118">
    <cfRule type="expression" dxfId="199" priority="15">
      <formula>I92&gt;0</formula>
    </cfRule>
    <cfRule type="expression" dxfId="198" priority="16">
      <formula>I92&lt;0</formula>
    </cfRule>
  </conditionalFormatting>
  <conditionalFormatting sqref="I83:I86">
    <cfRule type="expression" dxfId="197" priority="13">
      <formula>I83&gt;0</formula>
    </cfRule>
    <cfRule type="expression" dxfId="196" priority="14">
      <formula>I83&lt;0</formula>
    </cfRule>
  </conditionalFormatting>
  <conditionalFormatting sqref="F94:F118">
    <cfRule type="expression" dxfId="195" priority="11">
      <formula>F94&gt;0</formula>
    </cfRule>
    <cfRule type="expression" dxfId="194" priority="12">
      <formula>F94&lt;0</formula>
    </cfRule>
  </conditionalFormatting>
  <conditionalFormatting sqref="F87">
    <cfRule type="expression" dxfId="193" priority="9">
      <formula>F87&gt;0</formula>
    </cfRule>
    <cfRule type="expression" dxfId="192" priority="10">
      <formula>F87&lt;0</formula>
    </cfRule>
  </conditionalFormatting>
  <conditionalFormatting sqref="H87">
    <cfRule type="expression" dxfId="191" priority="7">
      <formula>H87&gt;0</formula>
    </cfRule>
    <cfRule type="expression" dxfId="190" priority="8">
      <formula>H87&lt;0</formula>
    </cfRule>
  </conditionalFormatting>
  <conditionalFormatting sqref="F21:F24">
    <cfRule type="expression" dxfId="189" priority="5">
      <formula>F21&gt;0</formula>
    </cfRule>
    <cfRule type="expression" dxfId="188" priority="6">
      <formula>F21&lt;0</formula>
    </cfRule>
  </conditionalFormatting>
  <conditionalFormatting sqref="H21:H24">
    <cfRule type="expression" dxfId="187" priority="3">
      <formula>H21&gt;0</formula>
    </cfRule>
    <cfRule type="expression" dxfId="186" priority="4">
      <formula>H21&lt;0</formula>
    </cfRule>
  </conditionalFormatting>
  <conditionalFormatting sqref="J25:K27 J30:K37 J28:J29">
    <cfRule type="expression" dxfId="185" priority="1">
      <formula>J25&gt;0</formula>
    </cfRule>
    <cfRule type="expression" dxfId="184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106.02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106.02</v>
      </c>
      <c r="R4" s="475">
        <v>1.18E-2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207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51" t="s">
        <v>78</v>
      </c>
      <c r="P40" s="851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116.622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115.56180000000001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114.5016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113.4414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112.38120000000001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111.321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110.2608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109.20059999999999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108.1404</v>
      </c>
      <c r="Q49" s="2"/>
      <c r="T49" s="91" t="s">
        <v>103</v>
      </c>
      <c r="U49" s="86" t="s">
        <v>514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107.08019999999999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106.02</v>
      </c>
      <c r="Q51" s="2"/>
      <c r="T51" s="91" t="s">
        <v>104</v>
      </c>
      <c r="U51" s="86" t="s">
        <v>642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104.9598</v>
      </c>
      <c r="Q52" s="2"/>
      <c r="T52" s="91" t="s">
        <v>105</v>
      </c>
      <c r="U52" s="86" t="s">
        <v>643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103.89959999999999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102.8394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101.77919999999999</v>
      </c>
      <c r="T55" s="91" t="s">
        <v>107</v>
      </c>
      <c r="U55" s="86" t="s">
        <v>644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100.71899999999999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99.658799999999985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98.598600000000005</v>
      </c>
      <c r="T58" s="91" t="s">
        <v>108</v>
      </c>
      <c r="U58" s="86" t="s">
        <v>533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97.538399999999996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96.478200000000001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95.417999999999992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3" priority="15">
      <formula>F25&gt;0</formula>
    </cfRule>
    <cfRule type="expression" dxfId="182" priority="16">
      <formula>F25&lt;0</formula>
    </cfRule>
  </conditionalFormatting>
  <conditionalFormatting sqref="F32:F70">
    <cfRule type="expression" dxfId="181" priority="11">
      <formula>F32&gt;0</formula>
    </cfRule>
    <cfRule type="expression" dxfId="180" priority="12">
      <formula>F32&lt;0</formula>
    </cfRule>
  </conditionalFormatting>
  <conditionalFormatting sqref="F32:F70">
    <cfRule type="expression" dxfId="179" priority="13">
      <formula>F32&gt;0</formula>
    </cfRule>
    <cfRule type="expression" dxfId="178" priority="14">
      <formula>F32&lt;0</formula>
    </cfRule>
  </conditionalFormatting>
  <conditionalFormatting sqref="H25 H30:H70">
    <cfRule type="expression" dxfId="177" priority="9">
      <formula>H25&gt;0</formula>
    </cfRule>
    <cfRule type="expression" dxfId="176" priority="10">
      <formula>H25&lt;0</formula>
    </cfRule>
  </conditionalFormatting>
  <conditionalFormatting sqref="F26:F29">
    <cfRule type="expression" dxfId="175" priority="7">
      <formula>F26&gt;0</formula>
    </cfRule>
    <cfRule type="expression" dxfId="174" priority="8">
      <formula>F26&lt;0</formula>
    </cfRule>
  </conditionalFormatting>
  <conditionalFormatting sqref="H26:H29">
    <cfRule type="expression" dxfId="173" priority="5">
      <formula>H26&gt;0</formula>
    </cfRule>
    <cfRule type="expression" dxfId="172" priority="6">
      <formula>H26&lt;0</formula>
    </cfRule>
  </conditionalFormatting>
  <conditionalFormatting sqref="Q7">
    <cfRule type="expression" dxfId="171" priority="3">
      <formula>Q7&gt;0</formula>
    </cfRule>
    <cfRule type="expression" dxfId="170" priority="4">
      <formula>Q7&lt;0</formula>
    </cfRule>
  </conditionalFormatting>
  <conditionalFormatting sqref="Q8">
    <cfRule type="expression" dxfId="169" priority="1">
      <formula>Q8&gt;0</formula>
    </cfRule>
    <cfRule type="expression" dxfId="16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680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5.42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5.42</v>
      </c>
      <c r="R4" s="475">
        <v>-1.6299999999999999E-2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680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208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207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497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3">
        <f t="shared" ref="H36:H42" si="6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3">
        <f t="shared" si="6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3">
        <f t="shared" si="6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3">
        <f t="shared" si="6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4"/>
        <v>67.960000000000065</v>
      </c>
      <c r="G40" s="39">
        <f t="shared" si="5"/>
        <v>1664.04</v>
      </c>
      <c r="H40" s="223">
        <f t="shared" si="6"/>
        <v>4.0840364414317001E-2</v>
      </c>
      <c r="I40" s="39"/>
      <c r="J40" s="39"/>
      <c r="K40" s="39"/>
      <c r="O40" s="851" t="s">
        <v>78</v>
      </c>
      <c r="P40" s="851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4"/>
        <v>-3.9999999999906777E-2</v>
      </c>
      <c r="G41" s="39">
        <f t="shared" si="5"/>
        <v>1664.04</v>
      </c>
      <c r="H41" s="223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5.9620000000000006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4"/>
        <v>-48.039999999999594</v>
      </c>
      <c r="G42" s="39">
        <f t="shared" si="5"/>
        <v>3272.04</v>
      </c>
      <c r="H42" s="223">
        <f t="shared" si="6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7">O42*$Q$4</f>
        <v>5.9077999999999999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5.8536000000000001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293</v>
      </c>
      <c r="J44" s="39"/>
      <c r="K44" s="39"/>
      <c r="O44" s="81">
        <v>1.07</v>
      </c>
      <c r="P44" s="81">
        <f t="shared" si="7"/>
        <v>5.7994000000000003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8">C45*(E45-D45)</f>
        <v>-8.0399999999997362</v>
      </c>
      <c r="G45" s="39">
        <f t="shared" ref="G45:G51" si="9">D45*C45</f>
        <v>3272.04</v>
      </c>
      <c r="H45" s="223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5.7452000000000005</v>
      </c>
      <c r="Q45" s="2"/>
      <c r="T45" s="91" t="s">
        <v>99</v>
      </c>
      <c r="U45" s="86" t="s">
        <v>645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8"/>
        <v>75.919999999999987</v>
      </c>
      <c r="G46" s="39">
        <f t="shared" si="9"/>
        <v>1592.08</v>
      </c>
      <c r="H46" s="223">
        <f t="shared" si="10"/>
        <v>4.7686045927340326E-2</v>
      </c>
      <c r="I46" s="508">
        <v>3.9</v>
      </c>
      <c r="J46" s="39"/>
      <c r="K46" s="39"/>
      <c r="O46" s="81">
        <v>1.05</v>
      </c>
      <c r="P46" s="81">
        <f t="shared" si="7"/>
        <v>5.6909999999999998</v>
      </c>
      <c r="Q46" s="2"/>
      <c r="T46" s="91" t="s">
        <v>100</v>
      </c>
      <c r="U46" s="86" t="s">
        <v>646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8"/>
        <v>15.919999999999845</v>
      </c>
      <c r="G47" s="39">
        <f t="shared" si="9"/>
        <v>3200.08</v>
      </c>
      <c r="H47" s="223">
        <f t="shared" si="10"/>
        <v>4.9748756281092496E-3</v>
      </c>
      <c r="I47" s="507" t="s">
        <v>300</v>
      </c>
      <c r="J47" s="39"/>
      <c r="K47" s="39"/>
      <c r="O47" s="81">
        <v>1.04</v>
      </c>
      <c r="P47" s="81">
        <f t="shared" si="7"/>
        <v>5.6368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8"/>
        <v>-548.07500000000005</v>
      </c>
      <c r="G48" s="39">
        <f t="shared" si="9"/>
        <v>4277.0749999999998</v>
      </c>
      <c r="H48" s="223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5.5826000000000002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8"/>
        <v>-849.07499999999959</v>
      </c>
      <c r="G49" s="39">
        <f t="shared" si="9"/>
        <v>5529.0749999999998</v>
      </c>
      <c r="H49" s="223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5.5284000000000004</v>
      </c>
      <c r="Q49" s="2"/>
      <c r="T49" s="91" t="s">
        <v>121</v>
      </c>
      <c r="U49" s="86" t="s">
        <v>422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8"/>
        <v>-22.110000000000252</v>
      </c>
      <c r="G50" s="39">
        <f t="shared" si="9"/>
        <v>4081.11</v>
      </c>
      <c r="H50" s="223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5.4741999999999997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8"/>
        <v>36.862000000000265</v>
      </c>
      <c r="G51" s="39">
        <f t="shared" si="9"/>
        <v>2581.1379999999999</v>
      </c>
      <c r="H51" s="223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5.42</v>
      </c>
      <c r="Q51" s="2"/>
      <c r="T51" s="91" t="s">
        <v>104</v>
      </c>
      <c r="U51" s="86" t="s">
        <v>647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1">C52*(E52-D52)</f>
        <v>-124.13800000000003</v>
      </c>
      <c r="G52" s="39">
        <f t="shared" ref="G52:G65" si="12">D52*C52</f>
        <v>2581.1379999999999</v>
      </c>
      <c r="H52" s="223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5.3658000000000001</v>
      </c>
      <c r="Q52" s="2"/>
      <c r="T52" s="91" t="s">
        <v>105</v>
      </c>
      <c r="U52" s="86" t="s">
        <v>519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1"/>
        <v>-12.137999999999938</v>
      </c>
      <c r="G53" s="39">
        <f t="shared" si="12"/>
        <v>2581.1379999999999</v>
      </c>
      <c r="H53" s="223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5.3115999999999994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1"/>
        <v>-166.0999999999998</v>
      </c>
      <c r="G54" s="39">
        <f t="shared" si="12"/>
        <v>4005.1</v>
      </c>
      <c r="H54" s="223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5.2573999999999996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1"/>
        <v>-414.14400000000012</v>
      </c>
      <c r="G55" s="39">
        <f t="shared" si="12"/>
        <v>6336.1440000000002</v>
      </c>
      <c r="H55" s="223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5.2031999999999998</v>
      </c>
      <c r="T55" s="91" t="s">
        <v>107</v>
      </c>
      <c r="U55" s="86" t="s">
        <v>648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1"/>
        <v>-180.14400000000029</v>
      </c>
      <c r="G56" s="39">
        <f t="shared" si="12"/>
        <v>6336.1440000000002</v>
      </c>
      <c r="H56" s="223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5.149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1"/>
        <v>-163.63799999999929</v>
      </c>
      <c r="G57" s="39">
        <f t="shared" si="12"/>
        <v>6220.6379999999999</v>
      </c>
      <c r="H57" s="223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5.0947999999999993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1"/>
        <v>202.27899999999988</v>
      </c>
      <c r="G58" s="39">
        <f t="shared" si="12"/>
        <v>3735.721</v>
      </c>
      <c r="H58" s="223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5.0406000000000004</v>
      </c>
      <c r="T58" s="91" t="s">
        <v>108</v>
      </c>
      <c r="U58" s="86" t="s">
        <v>550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1"/>
        <v>301.31199999999995</v>
      </c>
      <c r="G59" s="39">
        <f t="shared" si="12"/>
        <v>3735.6880000000001</v>
      </c>
      <c r="H59" s="223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4.9863999999999997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1"/>
        <v>257.3119999999999</v>
      </c>
      <c r="G60" s="39">
        <f t="shared" si="12"/>
        <v>3735.6880000000001</v>
      </c>
      <c r="H60" s="223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4.9321999999999999</v>
      </c>
    </row>
    <row r="61" spans="1:21" x14ac:dyDescent="0.25">
      <c r="A61" t="s">
        <v>346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1"/>
        <v>116.30999999999992</v>
      </c>
      <c r="G61" s="39">
        <f t="shared" si="12"/>
        <v>5103.6900000000005</v>
      </c>
      <c r="H61" s="223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4.8780000000000001</v>
      </c>
    </row>
    <row r="62" spans="1:21" x14ac:dyDescent="0.25">
      <c r="A62" t="s">
        <v>353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1"/>
        <v>50.310000000000258</v>
      </c>
      <c r="G62" s="39">
        <f t="shared" si="12"/>
        <v>6123.69</v>
      </c>
      <c r="H62" s="223">
        <f t="shared" si="13"/>
        <v>8.2156346908482062E-3</v>
      </c>
      <c r="I62" s="39"/>
      <c r="J62" s="39"/>
      <c r="K62" s="39"/>
    </row>
    <row r="63" spans="1:21" x14ac:dyDescent="0.25">
      <c r="A63" t="s">
        <v>354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1"/>
        <v>72.785999999999973</v>
      </c>
      <c r="G63" s="39">
        <f t="shared" si="12"/>
        <v>4743.2139999999999</v>
      </c>
      <c r="H63" s="223">
        <f t="shared" si="13"/>
        <v>1.5345291188632849E-2</v>
      </c>
      <c r="I63" s="39"/>
      <c r="J63" s="39"/>
      <c r="K63" s="39"/>
    </row>
    <row r="64" spans="1:21" x14ac:dyDescent="0.25">
      <c r="A64" t="s">
        <v>395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1"/>
        <v>44.785999999999945</v>
      </c>
      <c r="G64" s="39">
        <f t="shared" si="12"/>
        <v>4743.2139999999999</v>
      </c>
      <c r="H64" s="223">
        <f t="shared" si="13"/>
        <v>9.4421208910245146E-3</v>
      </c>
      <c r="I64" s="39"/>
      <c r="J64" s="39"/>
      <c r="K64" s="39"/>
    </row>
    <row r="65" spans="1:13" x14ac:dyDescent="0.25">
      <c r="A65" t="s">
        <v>398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1"/>
        <v>-63.239999999999519</v>
      </c>
      <c r="G65" s="39">
        <f t="shared" si="12"/>
        <v>6723.24</v>
      </c>
      <c r="H65" s="223">
        <f t="shared" si="13"/>
        <v>-9.4061791636174709E-3</v>
      </c>
      <c r="I65" s="39"/>
      <c r="J65" s="39"/>
      <c r="K65" s="227"/>
    </row>
    <row r="66" spans="1:13" x14ac:dyDescent="0.25">
      <c r="A66" t="s">
        <v>444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68" si="14">C66*(E66-D66)</f>
        <v>-23.239999999999483</v>
      </c>
      <c r="G66" s="39">
        <f t="shared" ref="G66:G68" si="15">D66*C66</f>
        <v>6723.24</v>
      </c>
      <c r="H66" s="223">
        <f t="shared" ref="H66:H68" si="16">(E66-D66)/D66</f>
        <v>-3.4566667261617143E-3</v>
      </c>
      <c r="I66" s="39"/>
      <c r="J66" s="39"/>
      <c r="K66" s="227"/>
    </row>
    <row r="67" spans="1:13" x14ac:dyDescent="0.25">
      <c r="A67" t="s">
        <v>447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4"/>
        <v>52.000000000000043</v>
      </c>
      <c r="G67" s="39">
        <f t="shared" si="15"/>
        <v>4329</v>
      </c>
      <c r="H67" s="223">
        <f t="shared" si="16"/>
        <v>1.2012012012012022E-2</v>
      </c>
      <c r="I67" s="39"/>
      <c r="J67" s="39"/>
      <c r="K67" s="227"/>
    </row>
    <row r="68" spans="1:13" x14ac:dyDescent="0.25">
      <c r="A68" t="s">
        <v>460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4"/>
        <v>24.720000000000297</v>
      </c>
      <c r="G68" s="39">
        <f t="shared" si="15"/>
        <v>6555.28</v>
      </c>
      <c r="H68" s="223">
        <f t="shared" si="16"/>
        <v>3.7710059677085188E-3</v>
      </c>
      <c r="I68" s="39" t="s">
        <v>461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ref="F69" si="17">C69*(E69-D69)</f>
        <v>-1035.2800000000002</v>
      </c>
      <c r="G69" s="39">
        <f t="shared" ref="G69" si="18">D69*C69</f>
        <v>6555.28</v>
      </c>
      <c r="H69" s="223">
        <f t="shared" ref="H69" si="19">(E69-D69)/D69</f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ref="F70:F72" si="20">C70*(E70-D70)</f>
        <v>-1733.9999999999995</v>
      </c>
      <c r="G70" s="39">
        <f t="shared" ref="G70:G72" si="21">D70*C70</f>
        <v>8964</v>
      </c>
      <c r="H70" s="223">
        <f t="shared" ref="H70:H72" si="22">(E70-D70)/D70</f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20"/>
        <v>-1680.0000000000002</v>
      </c>
      <c r="G71" s="39">
        <f t="shared" si="21"/>
        <v>8910</v>
      </c>
      <c r="H71" s="223">
        <f t="shared" si="22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20"/>
        <v>-1376.4400000000007</v>
      </c>
      <c r="G72" s="39">
        <f t="shared" si="21"/>
        <v>7902.4400000000005</v>
      </c>
      <c r="H72" s="223">
        <f t="shared" si="22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ref="F73" si="23">C73*(E73-D73)</f>
        <v>-1464.3599999999997</v>
      </c>
      <c r="G73" s="39">
        <f t="shared" ref="G73" si="24">D73*C73</f>
        <v>8874.36</v>
      </c>
      <c r="H73" s="223">
        <f t="shared" ref="H73" si="25">(E73-D73)/D73</f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ref="F74" si="26">C74*(E74-D74)</f>
        <v>-2594.4</v>
      </c>
      <c r="G74" s="39">
        <f t="shared" ref="G74" si="27">D74*C74</f>
        <v>11034.4</v>
      </c>
      <c r="H74" s="223">
        <f t="shared" ref="H74" si="28">(E74-D74)/D74</f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ref="F75" si="29">C75*(E75-D75)</f>
        <v>-2954.3999999999996</v>
      </c>
      <c r="G75" s="39">
        <f t="shared" ref="G75" si="30">D75*C75</f>
        <v>11034.4</v>
      </c>
      <c r="H75" s="223">
        <f t="shared" ref="H75" si="31">(E75-D75)/D75</f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ref="F76" si="32">C76*(E76-D76)</f>
        <v>-2514.4</v>
      </c>
      <c r="G76" s="39">
        <f t="shared" ref="G76" si="33">D76*C76</f>
        <v>11034.4</v>
      </c>
      <c r="H76" s="223">
        <f t="shared" ref="H76" si="34">(E76-D76)/D76</f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ref="F77:F79" si="35">C77*(E77-D77)</f>
        <v>-5194.3999999999996</v>
      </c>
      <c r="G77" s="39">
        <f t="shared" ref="G77:G79" si="36">D77*C77</f>
        <v>11034.4</v>
      </c>
      <c r="H77" s="223">
        <f t="shared" ref="H77:H79" si="37">(E77-D77)/D77</f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36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 t="shared" si="35"/>
        <v>-5856.0000000000009</v>
      </c>
      <c r="G79" s="39">
        <f t="shared" si="36"/>
        <v>10496</v>
      </c>
      <c r="H79" s="223">
        <f t="shared" si="37"/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" si="38">C81*(E81-D81)</f>
        <v>-6320.7819999999992</v>
      </c>
      <c r="G81" s="39">
        <f t="shared" ref="G81" si="39">D81*C81</f>
        <v>8935.2819999999992</v>
      </c>
      <c r="H81" s="223">
        <f t="shared" ref="H81" si="40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ref="F82" si="41">C82*(E82-D82)</f>
        <v>-6554.2399999999989</v>
      </c>
      <c r="G82" s="39">
        <f t="shared" ref="G82" si="42">D82*C82</f>
        <v>10368.679999999998</v>
      </c>
      <c r="H82" s="223">
        <f t="shared" ref="H82" si="43">(E82-D82)/D82</f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ref="F83:F87" si="44">C83*(E83-D83)</f>
        <v>-6705.86</v>
      </c>
      <c r="G83" s="39">
        <f t="shared" ref="G83:G87" si="45">D83*C83</f>
        <v>10368.679999999998</v>
      </c>
      <c r="H83" s="223">
        <f t="shared" ref="H83:H87" si="46">(E83-D83)/D83</f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44"/>
        <v>-7259.1399999999994</v>
      </c>
      <c r="G84" s="39">
        <f t="shared" si="45"/>
        <v>10368.679999999998</v>
      </c>
      <c r="H84" s="223">
        <f t="shared" si="46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44"/>
        <v>-6971.8600000000006</v>
      </c>
      <c r="G85" s="39">
        <f t="shared" si="45"/>
        <v>10209.08</v>
      </c>
      <c r="H85" s="223">
        <f t="shared" si="46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44"/>
        <v>-7874.9657999999999</v>
      </c>
      <c r="G86" s="39">
        <f t="shared" si="45"/>
        <v>11117.7258</v>
      </c>
      <c r="H86" s="223">
        <f t="shared" si="46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44"/>
        <v>-8405.5560000000005</v>
      </c>
      <c r="G87" s="39">
        <f t="shared" si="45"/>
        <v>11117.616</v>
      </c>
      <c r="H87" s="223">
        <f t="shared" si="46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ref="F88" si="47">C88*(E88-D88)</f>
        <v>-8203.4399999999987</v>
      </c>
      <c r="G88" s="39">
        <f t="shared" ref="G88" si="48">D88*C88</f>
        <v>10320.799999999999</v>
      </c>
      <c r="H88" s="223">
        <f t="shared" ref="H88" si="49">(E88-D88)/D88</f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207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50">C126*(E126-D126)</f>
        <v>-89.999999999999858</v>
      </c>
      <c r="G126" s="363">
        <f t="shared" ref="G126:G134" si="51">D126*C126</f>
        <v>2175</v>
      </c>
      <c r="H126" s="365">
        <f t="shared" ref="H126:H134" si="52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50"/>
        <v>84.999999999999972</v>
      </c>
      <c r="G127" s="363">
        <f t="shared" si="51"/>
        <v>1045</v>
      </c>
      <c r="H127" s="365">
        <f t="shared" si="52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50"/>
        <v>40.000000000000036</v>
      </c>
      <c r="G128" s="363">
        <f t="shared" si="51"/>
        <v>2135</v>
      </c>
      <c r="H128" s="365">
        <f t="shared" si="52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50"/>
        <v>165.00000000000003</v>
      </c>
      <c r="G129" s="363">
        <f t="shared" si="51"/>
        <v>2135</v>
      </c>
      <c r="H129" s="365">
        <f t="shared" si="52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50"/>
        <v>40.000000000000036</v>
      </c>
      <c r="G130" s="363">
        <f t="shared" si="51"/>
        <v>1022.5</v>
      </c>
      <c r="H130" s="365">
        <f t="shared" si="52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50"/>
        <v>87.500000000000128</v>
      </c>
      <c r="G131" s="363">
        <f t="shared" si="51"/>
        <v>1022.5</v>
      </c>
      <c r="H131" s="365">
        <f t="shared" si="52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50"/>
        <v>302.5</v>
      </c>
      <c r="G132" s="363">
        <f t="shared" si="51"/>
        <v>1022.5</v>
      </c>
      <c r="H132" s="365">
        <f t="shared" si="52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50"/>
        <v>345</v>
      </c>
      <c r="G133" s="363">
        <f t="shared" si="51"/>
        <v>1022.5</v>
      </c>
      <c r="H133" s="365">
        <f t="shared" si="52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50"/>
        <v>385</v>
      </c>
      <c r="G134" s="363">
        <f t="shared" si="51"/>
        <v>1022.5</v>
      </c>
      <c r="H134" s="365">
        <f t="shared" si="52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7" priority="25">
      <formula>F34&gt;0</formula>
    </cfRule>
    <cfRule type="expression" dxfId="166" priority="26">
      <formula>F34&lt;0</formula>
    </cfRule>
  </conditionalFormatting>
  <conditionalFormatting sqref="H124:H131">
    <cfRule type="expression" dxfId="165" priority="23">
      <formula>H124&gt;0</formula>
    </cfRule>
    <cfRule type="expression" dxfId="164" priority="24">
      <formula>H124&lt;0</formula>
    </cfRule>
  </conditionalFormatting>
  <conditionalFormatting sqref="H132">
    <cfRule type="expression" dxfId="163" priority="21">
      <formula>H132&gt;0</formula>
    </cfRule>
    <cfRule type="expression" dxfId="162" priority="22">
      <formula>H132&lt;0</formula>
    </cfRule>
  </conditionalFormatting>
  <conditionalFormatting sqref="Q8">
    <cfRule type="expression" dxfId="161" priority="11">
      <formula>Q8&gt;0</formula>
    </cfRule>
    <cfRule type="expression" dxfId="160" priority="12">
      <formula>Q8&lt;0</formula>
    </cfRule>
  </conditionalFormatting>
  <conditionalFormatting sqref="Q7">
    <cfRule type="expression" dxfId="159" priority="13">
      <formula>Q7&gt;0</formula>
    </cfRule>
    <cfRule type="expression" dxfId="158" priority="14">
      <formula>Q7&lt;0</formula>
    </cfRule>
  </conditionalFormatting>
  <conditionalFormatting sqref="F36:F39">
    <cfRule type="expression" dxfId="157" priority="9">
      <formula>F36&gt;0</formula>
    </cfRule>
    <cfRule type="expression" dxfId="156" priority="10">
      <formula>F36&lt;0</formula>
    </cfRule>
  </conditionalFormatting>
  <conditionalFormatting sqref="H36:H39">
    <cfRule type="expression" dxfId="155" priority="7">
      <formula>H36&gt;0</formula>
    </cfRule>
    <cfRule type="expression" dxfId="154" priority="8">
      <formula>H36&lt;0</formula>
    </cfRule>
  </conditionalFormatting>
  <conditionalFormatting sqref="K65:K99">
    <cfRule type="expression" dxfId="153" priority="5">
      <formula>K65&gt;0</formula>
    </cfRule>
    <cfRule type="expression" dxfId="152" priority="6">
      <formula>K65&lt;0</formula>
    </cfRule>
  </conditionalFormatting>
  <conditionalFormatting sqref="K72">
    <cfRule type="expression" dxfId="151" priority="3">
      <formula>K72&gt;0</formula>
    </cfRule>
    <cfRule type="expression" dxfId="150" priority="4">
      <formula>K72&lt;0</formula>
    </cfRule>
  </conditionalFormatting>
  <conditionalFormatting sqref="M69">
    <cfRule type="expression" dxfId="149" priority="1">
      <formula>M69&gt;0</formula>
    </cfRule>
    <cfRule type="expression" dxfId="14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809</v>
      </c>
      <c r="W2" t="s">
        <v>807</v>
      </c>
      <c r="X2" s="739" t="s">
        <v>791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76.64</v>
      </c>
      <c r="U3" t="s">
        <v>810</v>
      </c>
      <c r="X3" s="739" t="s">
        <v>792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76.64</v>
      </c>
      <c r="R4" s="475">
        <v>1.9E-2</v>
      </c>
      <c r="U4" t="s">
        <v>811</v>
      </c>
      <c r="X4" s="739" t="s">
        <v>793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794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818</v>
      </c>
      <c r="AF5" s="738" t="s">
        <v>818</v>
      </c>
      <c r="AG5" s="738" t="s">
        <v>818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821</v>
      </c>
      <c r="X6" s="739" t="s">
        <v>795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796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856</v>
      </c>
      <c r="X8" s="739" t="s">
        <v>808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208</v>
      </c>
      <c r="Q9" s="134">
        <f>IF(Q2=0, 0, Q8/Q6)</f>
        <v>0</v>
      </c>
      <c r="U9" t="s">
        <v>875</v>
      </c>
      <c r="X9" s="739" t="s">
        <v>819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207</v>
      </c>
      <c r="P10" s="33"/>
      <c r="Q10" s="2">
        <f>M54</f>
        <v>810.1299999999901</v>
      </c>
      <c r="X10" s="739" t="s">
        <v>820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2.7139874739039668E-2</v>
      </c>
      <c r="R11">
        <f>0.52</f>
        <v>0.52</v>
      </c>
      <c r="T11" s="1">
        <v>43112</v>
      </c>
      <c r="U11" t="s">
        <v>872</v>
      </c>
      <c r="X11" s="739" t="s">
        <v>805</v>
      </c>
      <c r="Y11" s="736">
        <f t="shared" ref="Y11:AD11" si="4">SUM(Y2:Y5)/Y7</f>
        <v>0.64177288157304813</v>
      </c>
      <c r="Z11" s="736">
        <f t="shared" si="4"/>
        <v>0.63926940639269403</v>
      </c>
      <c r="AA11" s="736">
        <f t="shared" si="4"/>
        <v>0.63458809218084755</v>
      </c>
      <c r="AB11" s="736">
        <f t="shared" si="4"/>
        <v>0.63569116967175221</v>
      </c>
      <c r="AC11" s="736">
        <f t="shared" si="4"/>
        <v>0.63344430572894994</v>
      </c>
      <c r="AD11" s="736">
        <f t="shared" si="4"/>
        <v>0.62888778303060466</v>
      </c>
      <c r="AE11" s="736">
        <f>SUM(AE2:AE5)/(AE7-AD5)</f>
        <v>0.74596251326181773</v>
      </c>
      <c r="AF11" s="736">
        <f t="shared" ref="AF11" si="5"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946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973</v>
      </c>
      <c r="Q13">
        <f>Q4/6.46</f>
        <v>11.863777089783282</v>
      </c>
      <c r="T13" s="1">
        <v>43114</v>
      </c>
      <c r="U13" t="s">
        <v>876</v>
      </c>
      <c r="W13" t="s">
        <v>806</v>
      </c>
      <c r="X13" s="739" t="s">
        <v>797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874</v>
      </c>
      <c r="X14" s="739" t="s">
        <v>798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873</v>
      </c>
      <c r="X15" s="739" t="s">
        <v>799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800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891</v>
      </c>
      <c r="X17" s="739" t="s">
        <v>801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907</v>
      </c>
      <c r="X18" s="739" t="s">
        <v>802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877</v>
      </c>
      <c r="X19" s="739" t="s">
        <v>803</v>
      </c>
      <c r="Y19" s="741">
        <v>0.03</v>
      </c>
      <c r="Z19" s="741">
        <v>0.05</v>
      </c>
      <c r="AA19" s="81" t="s">
        <v>818</v>
      </c>
      <c r="AB19" s="2" t="s">
        <v>818</v>
      </c>
      <c r="AC19" s="763" t="s">
        <v>818</v>
      </c>
      <c r="AD19" s="738" t="s">
        <v>818</v>
      </c>
      <c r="AE19" s="738" t="s">
        <v>818</v>
      </c>
      <c r="AF19" s="738">
        <v>0.02</v>
      </c>
      <c r="AG19" s="738" t="s">
        <v>818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804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1043</v>
      </c>
      <c r="X21" s="739" t="s">
        <v>796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1048</v>
      </c>
      <c r="X22" s="739" t="s">
        <v>808</v>
      </c>
      <c r="Y22" s="81"/>
      <c r="Z22" s="742">
        <f t="shared" ref="Z22:AF22" si="6">(Z21-Y21)/Y21</f>
        <v>-3.0535538389755749E-2</v>
      </c>
      <c r="AA22" s="742">
        <f t="shared" si="6"/>
        <v>-6.7379679144385002E-2</v>
      </c>
      <c r="AB22" s="742">
        <f t="shared" si="6"/>
        <v>-0.1551605504587156</v>
      </c>
      <c r="AC22" s="742">
        <f t="shared" si="6"/>
        <v>4.8187864802497586E-2</v>
      </c>
      <c r="AD22" s="742">
        <f t="shared" si="6"/>
        <v>9.4794094794094896E-2</v>
      </c>
      <c r="AE22" s="742">
        <f t="shared" si="6"/>
        <v>-0.10716820440028391</v>
      </c>
      <c r="AF22" s="742">
        <f t="shared" si="6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819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820</v>
      </c>
      <c r="Z24" s="223">
        <f t="shared" ref="Z24:AF24" si="10">(Z23-Y23)/Y23</f>
        <v>-3.259973362085377E-2</v>
      </c>
      <c r="AA24" s="223">
        <f t="shared" si="10"/>
        <v>-5.9267029436832049E-2</v>
      </c>
      <c r="AB24" s="223">
        <f t="shared" si="10"/>
        <v>-0.16356540525472166</v>
      </c>
      <c r="AC24" s="223">
        <f t="shared" si="10"/>
        <v>5.0324945842359657E-2</v>
      </c>
      <c r="AD24" s="223">
        <f t="shared" si="10"/>
        <v>9.8127875614786642E-2</v>
      </c>
      <c r="AE24" s="223">
        <f t="shared" si="10"/>
        <v>-0.11103084591490286</v>
      </c>
      <c r="AF24" s="223">
        <f t="shared" si="10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X25" s="739" t="s">
        <v>805</v>
      </c>
      <c r="Y25" s="742">
        <f t="shared" ref="Y25:AD25" si="11">Y23/Y21</f>
        <v>0.81740888589351457</v>
      </c>
      <c r="Z25" s="742">
        <f t="shared" si="11"/>
        <v>0.81566844919786097</v>
      </c>
      <c r="AA25" s="742">
        <f t="shared" si="11"/>
        <v>0.82276376146788999</v>
      </c>
      <c r="AB25" s="742">
        <f t="shared" si="11"/>
        <v>0.81457852585855839</v>
      </c>
      <c r="AC25" s="742">
        <f t="shared" si="11"/>
        <v>0.81623931623931623</v>
      </c>
      <c r="AD25" s="742">
        <f t="shared" si="11"/>
        <v>0.81872486396971844</v>
      </c>
      <c r="AE25" s="742">
        <f t="shared" ref="AE25" si="12">AE23/AE21</f>
        <v>0.81518282988871227</v>
      </c>
      <c r="AF25" s="742">
        <f t="shared" ref="AF25" si="13"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497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2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2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2">
        <f t="shared" ref="H32" si="22">(E32-D32)/D32</f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ref="F33:F35" si="23">C33*(E33-D33)</f>
        <v>-282.99999999999983</v>
      </c>
      <c r="G33" s="39">
        <f t="shared" ref="G33:G35" si="24">D33*C33</f>
        <v>3554</v>
      </c>
      <c r="H33" s="222">
        <f t="shared" ref="H33:H35" si="25">(E33-D33)/D33</f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23"/>
        <v>3.0000000000001137</v>
      </c>
      <c r="G34" s="39">
        <f t="shared" si="24"/>
        <v>3554</v>
      </c>
      <c r="H34" s="223">
        <f t="shared" si="25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23"/>
        <v>-9.0000000000003411</v>
      </c>
      <c r="G35" s="39">
        <f t="shared" si="24"/>
        <v>3525.5000000000005</v>
      </c>
      <c r="H35" s="223">
        <f t="shared" si="25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51" t="s">
        <v>78</v>
      </c>
      <c r="P42" s="851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84.304000000000002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26">O44*$Q$4</f>
        <v>83.537600000000012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26"/>
        <v>82.771200000000007</v>
      </c>
      <c r="Q45" s="2"/>
      <c r="T45" s="91" t="s">
        <v>99</v>
      </c>
      <c r="U45" s="86" t="s">
        <v>649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26"/>
        <v>82.004800000000003</v>
      </c>
      <c r="Q46" s="2"/>
      <c r="T46" s="91" t="s">
        <v>100</v>
      </c>
      <c r="U46" s="86" t="s">
        <v>650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26"/>
        <v>81.238399999999999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26"/>
        <v>80.472000000000008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26"/>
        <v>79.705600000000004</v>
      </c>
      <c r="Q49" s="2"/>
      <c r="T49" s="91" t="s">
        <v>103</v>
      </c>
      <c r="U49" s="86" t="s">
        <v>551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26"/>
        <v>78.9392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26"/>
        <v>78.172799999999995</v>
      </c>
      <c r="Q51" s="2"/>
      <c r="T51" s="91" t="s">
        <v>104</v>
      </c>
      <c r="U51" s="86" t="s">
        <v>651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26"/>
        <v>77.406400000000005</v>
      </c>
      <c r="Q52" s="2"/>
      <c r="T52" s="91" t="s">
        <v>105</v>
      </c>
      <c r="U52" s="86" t="s">
        <v>412</v>
      </c>
      <c r="V52" s="86"/>
    </row>
    <row r="53" spans="1:22" x14ac:dyDescent="0.25">
      <c r="O53" s="81">
        <v>1</v>
      </c>
      <c r="P53" s="81">
        <f t="shared" si="26"/>
        <v>76.64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6"/>
        <v>75.873599999999996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26"/>
        <v>75.107200000000006</v>
      </c>
      <c r="Q55" s="2"/>
      <c r="T55" s="91" t="s">
        <v>107</v>
      </c>
      <c r="U55" s="86" t="s">
        <v>652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27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26"/>
        <v>74.340800000000002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27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26"/>
        <v>73.574399999999997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27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26"/>
        <v>72.807999999999993</v>
      </c>
      <c r="T58" s="91" t="s">
        <v>108</v>
      </c>
      <c r="U58" s="86" t="s">
        <v>552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27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26"/>
        <v>72.041600000000003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27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26"/>
        <v>71.275199999999998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27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26"/>
        <v>70.508800000000008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27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26"/>
        <v>69.742400000000004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27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26"/>
        <v>68.975999999999999</v>
      </c>
    </row>
    <row r="64" spans="1:22" x14ac:dyDescent="0.25">
      <c r="A64" s="384" t="s">
        <v>210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27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27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28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27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28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27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28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27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28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27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28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27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28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27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28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27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28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27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28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27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28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27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28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27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28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27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28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27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28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27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28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27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28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27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29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30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29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30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29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30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29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30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29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30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29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30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497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31">C106*(E106-D106)</f>
        <v>103.99999999999991</v>
      </c>
      <c r="G106" s="363">
        <f t="shared" ref="G106:G169" si="32">D106*C106</f>
        <v>2555</v>
      </c>
      <c r="H106" s="364">
        <f t="shared" ref="H106:H169" si="33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31"/>
        <v>-54.250000000000043</v>
      </c>
      <c r="G107" s="363">
        <f t="shared" si="32"/>
        <v>2555</v>
      </c>
      <c r="H107" s="364">
        <f t="shared" si="33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31"/>
        <v>16.499999999999915</v>
      </c>
      <c r="G108" s="363">
        <f t="shared" si="32"/>
        <v>2555</v>
      </c>
      <c r="H108" s="364">
        <f t="shared" si="33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31"/>
        <v>-143.99999999999977</v>
      </c>
      <c r="G109" s="363">
        <f t="shared" si="32"/>
        <v>4956.5</v>
      </c>
      <c r="H109" s="364">
        <f t="shared" si="33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31"/>
        <v>-819.60000000000059</v>
      </c>
      <c r="G110" s="363">
        <f t="shared" si="32"/>
        <v>5782.2000000000007</v>
      </c>
      <c r="H110" s="364">
        <f t="shared" si="33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31"/>
        <v>-539</v>
      </c>
      <c r="G111" s="363">
        <f t="shared" si="32"/>
        <v>4901.5</v>
      </c>
      <c r="H111" s="364">
        <f t="shared" si="33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31"/>
        <v>-500.5000000000004</v>
      </c>
      <c r="G112" s="363">
        <f t="shared" si="32"/>
        <v>6662.6</v>
      </c>
      <c r="H112" s="365">
        <f t="shared" si="33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31"/>
        <v>-384.30000000000064</v>
      </c>
      <c r="G113" s="363">
        <f t="shared" si="32"/>
        <v>6662.6</v>
      </c>
      <c r="H113" s="365">
        <f t="shared" si="33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31"/>
        <v>-446.6000000000007</v>
      </c>
      <c r="G114" s="363">
        <f t="shared" si="32"/>
        <v>6662.6</v>
      </c>
      <c r="H114" s="365">
        <f t="shared" si="33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32"/>
        <v>6662.32</v>
      </c>
      <c r="H115" s="365">
        <f t="shared" si="33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32"/>
        <v>4850.55</v>
      </c>
      <c r="H116" s="365">
        <f t="shared" si="33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32"/>
        <v>4850.55</v>
      </c>
      <c r="H117" s="365">
        <f t="shared" si="33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34">C118*(E118-D118)</f>
        <v>-221.95000000000036</v>
      </c>
      <c r="G118" s="363">
        <f t="shared" si="32"/>
        <v>4820.4500000000007</v>
      </c>
      <c r="H118" s="365">
        <f t="shared" si="33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34"/>
        <v>-15.950000000000131</v>
      </c>
      <c r="G119" s="363">
        <f t="shared" si="32"/>
        <v>4820.4500000000007</v>
      </c>
      <c r="H119" s="365">
        <f t="shared" si="33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34"/>
        <v>94.050000000000011</v>
      </c>
      <c r="G120" s="363">
        <f t="shared" si="32"/>
        <v>4820.4500000000007</v>
      </c>
      <c r="H120" s="365">
        <f t="shared" si="33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34"/>
        <v>145.74999999999994</v>
      </c>
      <c r="G121" s="363">
        <f t="shared" si="32"/>
        <v>2334.25</v>
      </c>
      <c r="H121" s="365">
        <f t="shared" si="33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34"/>
        <v>59.499999999999886</v>
      </c>
      <c r="G122" s="363">
        <f t="shared" si="32"/>
        <v>4790.5</v>
      </c>
      <c r="H122" s="365">
        <f t="shared" si="33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34"/>
        <v>-422.59000000000043</v>
      </c>
      <c r="G123" s="363">
        <f t="shared" si="32"/>
        <v>6597.29</v>
      </c>
      <c r="H123" s="365">
        <f t="shared" si="33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34"/>
        <v>-461.29999999999995</v>
      </c>
      <c r="G124" s="363">
        <f t="shared" si="32"/>
        <v>9282.2999999999993</v>
      </c>
      <c r="H124" s="365">
        <f t="shared" si="33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34"/>
        <v>-814.29999999999859</v>
      </c>
      <c r="G125" s="363">
        <f t="shared" si="32"/>
        <v>9282.2999999999993</v>
      </c>
      <c r="H125" s="365">
        <f t="shared" si="33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34"/>
        <v>-1005.2999999999997</v>
      </c>
      <c r="G126" s="363">
        <f t="shared" si="32"/>
        <v>9282.2999999999993</v>
      </c>
      <c r="H126" s="365">
        <f t="shared" si="33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34"/>
        <v>-659.99999999999943</v>
      </c>
      <c r="G127" s="363">
        <f t="shared" si="32"/>
        <v>9282</v>
      </c>
      <c r="H127" s="365">
        <f t="shared" si="33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34"/>
        <v>-522.29999999999995</v>
      </c>
      <c r="G128" s="363">
        <f t="shared" si="32"/>
        <v>9282.2999999999993</v>
      </c>
      <c r="H128" s="365">
        <f t="shared" si="33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34"/>
        <v>-925</v>
      </c>
      <c r="G129" s="363">
        <f t="shared" si="32"/>
        <v>9282</v>
      </c>
      <c r="H129" s="365">
        <f t="shared" si="33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34"/>
        <v>-1102.9999999999986</v>
      </c>
      <c r="G130" s="363">
        <f t="shared" si="32"/>
        <v>9282</v>
      </c>
      <c r="H130" s="365">
        <f t="shared" si="33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34"/>
        <v>-1235.4000000000015</v>
      </c>
      <c r="G131" s="363">
        <f t="shared" si="32"/>
        <v>17329.400000000001</v>
      </c>
      <c r="H131" s="365">
        <f t="shared" si="33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34"/>
        <v>-1679.400000000001</v>
      </c>
      <c r="G132" s="363">
        <f t="shared" si="32"/>
        <v>17329.400000000001</v>
      </c>
      <c r="H132" s="365">
        <f t="shared" si="33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34"/>
        <v>-867.40000000000066</v>
      </c>
      <c r="G133" s="363">
        <f t="shared" si="32"/>
        <v>17329.400000000001</v>
      </c>
      <c r="H133" s="365">
        <f t="shared" si="33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34"/>
        <v>-828.30000000000155</v>
      </c>
      <c r="G134" s="363">
        <f t="shared" si="32"/>
        <v>17282.3</v>
      </c>
      <c r="H134" s="365">
        <f t="shared" si="33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34"/>
        <v>-422.48000000000019</v>
      </c>
      <c r="G135" s="363">
        <f t="shared" si="32"/>
        <v>8908.48</v>
      </c>
      <c r="H135" s="365">
        <f t="shared" si="33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34"/>
        <v>-519.48</v>
      </c>
      <c r="G136" s="363">
        <f t="shared" si="32"/>
        <v>8908.48</v>
      </c>
      <c r="H136" s="365">
        <f t="shared" si="33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34"/>
        <v>-253.48000000000042</v>
      </c>
      <c r="G137" s="363">
        <f t="shared" si="32"/>
        <v>8908.48</v>
      </c>
      <c r="H137" s="365">
        <f t="shared" si="33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34"/>
        <v>-215.47999999999945</v>
      </c>
      <c r="G138" s="363">
        <f t="shared" si="32"/>
        <v>8908.48</v>
      </c>
      <c r="H138" s="365">
        <f t="shared" si="33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34"/>
        <v>-364.48000000000036</v>
      </c>
      <c r="G139" s="363">
        <f t="shared" si="32"/>
        <v>8908.48</v>
      </c>
      <c r="H139" s="365">
        <f t="shared" si="33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34"/>
        <v>-242.48000000000047</v>
      </c>
      <c r="G140" s="363">
        <f t="shared" si="32"/>
        <v>8908.48</v>
      </c>
      <c r="H140" s="365">
        <f t="shared" si="33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34"/>
        <v>-184.48000000000064</v>
      </c>
      <c r="G141" s="363">
        <f t="shared" si="32"/>
        <v>8908.48</v>
      </c>
      <c r="H141" s="365">
        <f t="shared" si="33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34"/>
        <v>-253.48000000000042</v>
      </c>
      <c r="G142" s="363">
        <f t="shared" si="32"/>
        <v>8908.48</v>
      </c>
      <c r="H142" s="365">
        <f t="shared" si="33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34"/>
        <v>-53.480000000000416</v>
      </c>
      <c r="G143" s="363">
        <f t="shared" si="32"/>
        <v>8908.48</v>
      </c>
      <c r="H143" s="365">
        <f t="shared" si="33"/>
        <v>-6.0032687955746001E-3</v>
      </c>
      <c r="I143" s="701" t="s">
        <v>246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34"/>
        <v>-795.27600000000064</v>
      </c>
      <c r="G144" s="363">
        <f t="shared" si="32"/>
        <v>10521.276</v>
      </c>
      <c r="H144" s="365">
        <f t="shared" si="33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34"/>
        <v>-982.18499999999972</v>
      </c>
      <c r="G145" s="363">
        <f t="shared" si="32"/>
        <v>12902.684999999999</v>
      </c>
      <c r="H145" s="365">
        <f t="shared" si="33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34"/>
        <v>-1067.6849999999988</v>
      </c>
      <c r="G146" s="363">
        <f t="shared" si="32"/>
        <v>12902.684999999999</v>
      </c>
      <c r="H146" s="365">
        <f t="shared" si="33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34"/>
        <v>-955.18499999999881</v>
      </c>
      <c r="G147" s="363">
        <f t="shared" si="32"/>
        <v>12902.684999999999</v>
      </c>
      <c r="H147" s="365">
        <f t="shared" si="33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34"/>
        <v>-797.68499999999915</v>
      </c>
      <c r="G148" s="363">
        <f t="shared" si="32"/>
        <v>12902.684999999999</v>
      </c>
      <c r="H148" s="365">
        <f t="shared" si="33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34"/>
        <v>-814.18499999999904</v>
      </c>
      <c r="G149" s="363">
        <f t="shared" si="32"/>
        <v>12902.684999999999</v>
      </c>
      <c r="H149" s="365">
        <f t="shared" si="33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34"/>
        <v>-752.6849999999996</v>
      </c>
      <c r="G150" s="363">
        <f t="shared" si="32"/>
        <v>12902.684999999999</v>
      </c>
      <c r="H150" s="365">
        <f t="shared" si="33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34"/>
        <v>-682.18499999999972</v>
      </c>
      <c r="G151" s="363">
        <f t="shared" si="32"/>
        <v>12902.684999999999</v>
      </c>
      <c r="H151" s="365">
        <f t="shared" si="33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34"/>
        <v>-827.6849999999996</v>
      </c>
      <c r="G152" s="363">
        <f t="shared" si="32"/>
        <v>12902.684999999999</v>
      </c>
      <c r="H152" s="365">
        <f t="shared" si="33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34"/>
        <v>-890.68499999999983</v>
      </c>
      <c r="G153" s="363">
        <f t="shared" si="32"/>
        <v>12902.684999999999</v>
      </c>
      <c r="H153" s="365">
        <f t="shared" si="33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34"/>
        <v>-927.38400000000081</v>
      </c>
      <c r="G154" s="363">
        <f t="shared" si="32"/>
        <v>14488.284</v>
      </c>
      <c r="H154" s="365">
        <f t="shared" si="33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34"/>
        <v>-1241.8839999999998</v>
      </c>
      <c r="G155" s="363">
        <f t="shared" si="32"/>
        <v>14488.284</v>
      </c>
      <c r="H155" s="365">
        <f t="shared" si="33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34"/>
        <v>-1334.6800000000003</v>
      </c>
      <c r="G156" s="363">
        <f t="shared" si="32"/>
        <v>16818.68</v>
      </c>
      <c r="H156" s="365">
        <f t="shared" si="33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34"/>
        <v>-1440.6800000000003</v>
      </c>
      <c r="G157" s="363">
        <f t="shared" si="32"/>
        <v>16818.68</v>
      </c>
      <c r="H157" s="365">
        <f t="shared" si="33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34"/>
        <v>-1242.6800000000014</v>
      </c>
      <c r="G158" s="363">
        <f t="shared" si="32"/>
        <v>16818.68</v>
      </c>
      <c r="H158" s="365">
        <f t="shared" si="33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34"/>
        <v>-1020.6800000000015</v>
      </c>
      <c r="G159" s="363">
        <f t="shared" si="32"/>
        <v>16818.68</v>
      </c>
      <c r="H159" s="365">
        <f t="shared" si="33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34"/>
        <v>-462.68000000000029</v>
      </c>
      <c r="G160" s="363">
        <f t="shared" si="32"/>
        <v>16818.68</v>
      </c>
      <c r="H160" s="365">
        <f t="shared" si="33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34"/>
        <v>-514.68000000000131</v>
      </c>
      <c r="G161" s="363">
        <f t="shared" si="32"/>
        <v>16818.68</v>
      </c>
      <c r="H161" s="365">
        <f t="shared" si="33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34"/>
        <v>-968.68000000000052</v>
      </c>
      <c r="G162" s="363">
        <f t="shared" si="32"/>
        <v>16818.68</v>
      </c>
      <c r="H162" s="365">
        <f t="shared" si="33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34"/>
        <v>-900.67999999999984</v>
      </c>
      <c r="G163" s="363">
        <f t="shared" si="32"/>
        <v>16724.68</v>
      </c>
      <c r="H163" s="365">
        <f t="shared" si="33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34"/>
        <v>-1097.7599999999995</v>
      </c>
      <c r="G164" s="363">
        <f t="shared" si="32"/>
        <v>16703.759999999998</v>
      </c>
      <c r="H164" s="365">
        <f t="shared" si="33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34"/>
        <v>-1470.25</v>
      </c>
      <c r="G165" s="363">
        <f t="shared" si="32"/>
        <v>20522.75</v>
      </c>
      <c r="H165" s="365">
        <f t="shared" si="33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34"/>
        <v>-1712.7499999999998</v>
      </c>
      <c r="G166" s="363">
        <f t="shared" si="32"/>
        <v>20522.75</v>
      </c>
      <c r="H166" s="365">
        <f t="shared" si="33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34"/>
        <v>-2170.2499999999995</v>
      </c>
      <c r="G167" s="363">
        <f t="shared" si="32"/>
        <v>20522.75</v>
      </c>
      <c r="H167" s="365">
        <f t="shared" si="33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34"/>
        <v>-2395.2499999999973</v>
      </c>
      <c r="G168" s="363">
        <f t="shared" si="32"/>
        <v>20522.75</v>
      </c>
      <c r="H168" s="365">
        <f t="shared" si="33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34"/>
        <v>-1409.9999999999995</v>
      </c>
      <c r="G169" s="363">
        <f t="shared" si="32"/>
        <v>16498</v>
      </c>
      <c r="H169" s="365">
        <f t="shared" si="33"/>
        <v>-8.5464904836949906E-2</v>
      </c>
      <c r="I169" s="489" t="s">
        <v>302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34"/>
        <v>-1757.9999999999984</v>
      </c>
      <c r="G170" s="363">
        <f t="shared" ref="G170:G202" si="35">D170*C170</f>
        <v>16498</v>
      </c>
      <c r="H170" s="365">
        <f t="shared" ref="H170:H204" si="36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34"/>
        <v>-1954.0000000000007</v>
      </c>
      <c r="G171" s="363">
        <f t="shared" si="35"/>
        <v>20164</v>
      </c>
      <c r="H171" s="365">
        <f t="shared" si="36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34"/>
        <v>-1457.1799999999996</v>
      </c>
      <c r="G172" s="363">
        <f t="shared" si="35"/>
        <v>16425.18</v>
      </c>
      <c r="H172" s="365">
        <f t="shared" si="36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34"/>
        <v>-1412.67</v>
      </c>
      <c r="G173" s="363">
        <f t="shared" si="35"/>
        <v>12638.67</v>
      </c>
      <c r="H173" s="365">
        <f t="shared" si="36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34"/>
        <v>-1429.6799999999989</v>
      </c>
      <c r="G174" s="363">
        <f t="shared" si="35"/>
        <v>16397.68</v>
      </c>
      <c r="H174" s="365">
        <f t="shared" si="36"/>
        <v>-8.718794366032262E-2</v>
      </c>
      <c r="I174" s="489" t="s">
        <v>312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34"/>
        <v>-2201.6750000000015</v>
      </c>
      <c r="G175" s="363">
        <f t="shared" si="35"/>
        <v>20221.675000000003</v>
      </c>
      <c r="H175" s="365">
        <f t="shared" si="36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34"/>
        <v>-1864.1749999999995</v>
      </c>
      <c r="G176" s="363">
        <f t="shared" si="35"/>
        <v>19884.174999999999</v>
      </c>
      <c r="H176" s="365">
        <f t="shared" si="36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34"/>
        <v>-1373.260000000002</v>
      </c>
      <c r="G177" s="363">
        <f t="shared" si="35"/>
        <v>16205.260000000002</v>
      </c>
      <c r="H177" s="365">
        <f t="shared" si="36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34"/>
        <v>-929.26000000000215</v>
      </c>
      <c r="G178" s="363">
        <f t="shared" si="35"/>
        <v>16205.260000000002</v>
      </c>
      <c r="H178" s="365">
        <f t="shared" si="36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34"/>
        <v>-1451.260000000002</v>
      </c>
      <c r="G179" s="363">
        <f t="shared" si="35"/>
        <v>16205.260000000002</v>
      </c>
      <c r="H179" s="365">
        <f t="shared" si="36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34"/>
        <v>-1821.7500000000016</v>
      </c>
      <c r="G180" s="363">
        <f t="shared" si="35"/>
        <v>19799.25</v>
      </c>
      <c r="H180" s="365">
        <f t="shared" si="36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339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34"/>
        <v>-2035.2599999999995</v>
      </c>
      <c r="G181" s="363">
        <f t="shared" si="35"/>
        <v>23338.260000000002</v>
      </c>
      <c r="H181" s="365">
        <f t="shared" si="36"/>
        <v>-8.7207015433027113E-2</v>
      </c>
      <c r="I181" s="701"/>
      <c r="J181" s="362"/>
      <c r="K181" s="362"/>
      <c r="L181" s="362"/>
    </row>
    <row r="182" spans="1:12" x14ac:dyDescent="0.25">
      <c r="A182" s="362" t="s">
        <v>358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37">C182*(E182-D182)</f>
        <v>-1804.4750000000001</v>
      </c>
      <c r="G182" s="363">
        <f t="shared" si="35"/>
        <v>19749.474999999999</v>
      </c>
      <c r="H182" s="365">
        <f t="shared" si="36"/>
        <v>-9.1368251561117442E-2</v>
      </c>
      <c r="I182" s="489" t="s">
        <v>372</v>
      </c>
      <c r="J182" s="362"/>
      <c r="K182" s="362"/>
      <c r="L182" s="362"/>
    </row>
    <row r="183" spans="1:12" x14ac:dyDescent="0.25">
      <c r="A183" s="362" t="s">
        <v>358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37"/>
        <v>-1934.474999999999</v>
      </c>
      <c r="G183" s="363">
        <f t="shared" si="35"/>
        <v>19749.474999999999</v>
      </c>
      <c r="H183" s="365">
        <f t="shared" si="36"/>
        <v>-9.7950705018740952E-2</v>
      </c>
      <c r="I183" s="701"/>
      <c r="J183" s="362"/>
      <c r="K183" s="362"/>
      <c r="L183" s="362"/>
    </row>
    <row r="184" spans="1:12" x14ac:dyDescent="0.25">
      <c r="A184" s="362" t="s">
        <v>394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37"/>
        <v>-1664.4749999999995</v>
      </c>
      <c r="G184" s="363">
        <f t="shared" si="35"/>
        <v>19749.474999999999</v>
      </c>
      <c r="H184" s="365">
        <f t="shared" si="36"/>
        <v>-8.4279455529830516E-2</v>
      </c>
      <c r="I184" s="701"/>
      <c r="J184" s="362"/>
      <c r="K184" s="362"/>
      <c r="L184" s="362"/>
    </row>
    <row r="185" spans="1:12" x14ac:dyDescent="0.25">
      <c r="A185" s="362" t="s">
        <v>339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37"/>
        <v>-1284.3300000000027</v>
      </c>
      <c r="G185" s="363">
        <f t="shared" si="35"/>
        <v>23223.33</v>
      </c>
      <c r="H185" s="365">
        <f t="shared" si="36"/>
        <v>-5.5303438395785734E-2</v>
      </c>
      <c r="I185" s="701"/>
      <c r="J185" s="362"/>
      <c r="K185" s="362"/>
      <c r="L185" s="362"/>
    </row>
    <row r="186" spans="1:12" x14ac:dyDescent="0.25">
      <c r="A186" s="362" t="s">
        <v>407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37"/>
        <v>-3507.3149999999991</v>
      </c>
      <c r="G186" s="363">
        <f t="shared" si="35"/>
        <v>26607.314999999999</v>
      </c>
      <c r="H186" s="365">
        <f t="shared" si="36"/>
        <v>-0.13181769750160807</v>
      </c>
      <c r="I186" s="701"/>
      <c r="J186" s="362"/>
      <c r="K186" s="362"/>
      <c r="L186" s="362"/>
    </row>
    <row r="187" spans="1:12" x14ac:dyDescent="0.25">
      <c r="A187" s="362" t="s">
        <v>425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37"/>
        <v>-2464.409999999998</v>
      </c>
      <c r="G187" s="363">
        <f t="shared" si="35"/>
        <v>23158.41</v>
      </c>
      <c r="H187" s="365">
        <f t="shared" si="36"/>
        <v>-0.10641533680421057</v>
      </c>
      <c r="I187" s="701"/>
      <c r="J187" s="362"/>
      <c r="K187" s="362"/>
      <c r="L187" s="362"/>
    </row>
    <row r="188" spans="1:12" x14ac:dyDescent="0.25">
      <c r="A188" s="362" t="s">
        <v>428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37"/>
        <v>-2221</v>
      </c>
      <c r="G188" s="363">
        <f t="shared" si="35"/>
        <v>19671</v>
      </c>
      <c r="H188" s="365">
        <f t="shared" si="36"/>
        <v>-0.11290732550454985</v>
      </c>
      <c r="I188" s="701"/>
      <c r="J188" s="362"/>
      <c r="K188" s="362"/>
      <c r="L188" s="362"/>
    </row>
    <row r="189" spans="1:12" x14ac:dyDescent="0.25">
      <c r="A189" s="362" t="s">
        <v>442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37"/>
        <v>-2463.5</v>
      </c>
      <c r="G189" s="363">
        <f t="shared" si="35"/>
        <v>19671</v>
      </c>
      <c r="H189" s="365">
        <f t="shared" si="36"/>
        <v>-0.12523511768593359</v>
      </c>
      <c r="I189" s="701"/>
      <c r="J189" s="362"/>
      <c r="K189" s="362"/>
      <c r="L189" s="362"/>
    </row>
    <row r="190" spans="1:12" x14ac:dyDescent="0.25">
      <c r="A190" s="362" t="s">
        <v>394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37"/>
        <v>-2186</v>
      </c>
      <c r="G190" s="363">
        <f t="shared" si="35"/>
        <v>19671</v>
      </c>
      <c r="H190" s="365">
        <f t="shared" si="36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37"/>
        <v>-2728.5000000000005</v>
      </c>
      <c r="G191" s="363">
        <f t="shared" si="35"/>
        <v>19671</v>
      </c>
      <c r="H191" s="365">
        <f t="shared" si="36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37"/>
        <v>-2553.4999999999995</v>
      </c>
      <c r="G192" s="363">
        <f t="shared" si="35"/>
        <v>19671</v>
      </c>
      <c r="H192" s="365">
        <f t="shared" si="36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37"/>
        <v>-2793.4999999999982</v>
      </c>
      <c r="G193" s="363">
        <f t="shared" si="35"/>
        <v>19671</v>
      </c>
      <c r="H193" s="365">
        <f t="shared" si="36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37"/>
        <v>-2561</v>
      </c>
      <c r="G194" s="363">
        <f t="shared" si="35"/>
        <v>19541</v>
      </c>
      <c r="H194" s="365">
        <f t="shared" si="36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37"/>
        <v>-3036.0000000000014</v>
      </c>
      <c r="G195" s="363">
        <f t="shared" si="35"/>
        <v>19541</v>
      </c>
      <c r="H195" s="365">
        <f t="shared" si="36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37"/>
        <v>-2591.0000000000009</v>
      </c>
      <c r="G196" s="363">
        <f t="shared" si="35"/>
        <v>19541</v>
      </c>
      <c r="H196" s="365">
        <f t="shared" si="36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37"/>
        <v>-1716.0000000000011</v>
      </c>
      <c r="G197" s="363">
        <f t="shared" si="35"/>
        <v>19411</v>
      </c>
      <c r="H197" s="365">
        <f t="shared" si="36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37"/>
        <v>-829.07999999999902</v>
      </c>
      <c r="G198" s="363">
        <f t="shared" si="35"/>
        <v>15707.08</v>
      </c>
      <c r="H198" s="365">
        <f t="shared" si="36"/>
        <v>-5.2783840153612198E-2</v>
      </c>
      <c r="I198" s="701" t="s">
        <v>708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37"/>
        <v>-490.00000000000057</v>
      </c>
      <c r="G199" s="363">
        <f t="shared" si="35"/>
        <v>15708.000000000002</v>
      </c>
      <c r="H199" s="365">
        <f t="shared" si="36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37"/>
        <v>-1076.0000000000018</v>
      </c>
      <c r="G200" s="363">
        <f t="shared" si="35"/>
        <v>15708.000000000002</v>
      </c>
      <c r="H200" s="365">
        <f t="shared" si="36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37"/>
        <v>474.00000000000091</v>
      </c>
      <c r="G201" s="363">
        <f t="shared" si="35"/>
        <v>7648.9999999999991</v>
      </c>
      <c r="H201" s="365">
        <f t="shared" si="36"/>
        <v>6.1968884821545424E-2</v>
      </c>
      <c r="I201" s="701" t="s">
        <v>695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37"/>
        <v>696.99999999999989</v>
      </c>
      <c r="G202" s="363">
        <f t="shared" si="35"/>
        <v>3490.5</v>
      </c>
      <c r="H202" s="365">
        <f t="shared" si="36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37"/>
        <v>671.99999999999989</v>
      </c>
      <c r="G203" s="363"/>
      <c r="H203" s="365">
        <f t="shared" si="36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37"/>
        <v>713.65000000000055</v>
      </c>
      <c r="G204" s="363">
        <f t="shared" ref="G204" si="38">D204*C204</f>
        <v>3435.3499999999995</v>
      </c>
      <c r="H204" s="365">
        <f t="shared" si="36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39">C207*(E207-D207)</f>
        <v>39.000000000000057</v>
      </c>
      <c r="G207" s="802">
        <f t="shared" ref="G207:G225" si="40">D207*C207</f>
        <v>4094</v>
      </c>
      <c r="H207" s="806">
        <f t="shared" ref="H207:H225" si="41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39"/>
        <v>160.99999999999994</v>
      </c>
      <c r="G208" s="802">
        <f t="shared" si="40"/>
        <v>4094</v>
      </c>
      <c r="H208" s="806">
        <f t="shared" si="41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39"/>
        <v>43.500000000000227</v>
      </c>
      <c r="G209" s="802">
        <f t="shared" si="40"/>
        <v>8184.5</v>
      </c>
      <c r="H209" s="806">
        <f t="shared" si="41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39"/>
        <v>93.9</v>
      </c>
      <c r="G210" s="802">
        <f t="shared" si="40"/>
        <v>4005.1000000000004</v>
      </c>
      <c r="H210" s="806">
        <f t="shared" si="41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39"/>
        <v>78.900000000000148</v>
      </c>
      <c r="G211" s="802">
        <f t="shared" si="40"/>
        <v>8089.1</v>
      </c>
      <c r="H211" s="803">
        <f t="shared" si="41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39"/>
        <v>-791.10000000000014</v>
      </c>
      <c r="G212" s="802">
        <f t="shared" si="40"/>
        <v>11783.1</v>
      </c>
      <c r="H212" s="803">
        <f t="shared" si="41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39"/>
        <v>-341.19000000000028</v>
      </c>
      <c r="G213" s="802">
        <f t="shared" si="40"/>
        <v>7969.1900000000005</v>
      </c>
      <c r="H213" s="803">
        <f t="shared" si="41"/>
        <v>-4.2813636015705522E-2</v>
      </c>
      <c r="I213" s="808" t="s">
        <v>756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39"/>
        <v>-623.00000000000045</v>
      </c>
      <c r="G214" s="802">
        <f t="shared" si="40"/>
        <v>7969</v>
      </c>
      <c r="H214" s="803">
        <f t="shared" si="41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39"/>
        <v>-875.99999999999841</v>
      </c>
      <c r="G215" s="802">
        <f t="shared" si="40"/>
        <v>11548.5</v>
      </c>
      <c r="H215" s="803">
        <f t="shared" si="41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39"/>
        <v>-472.27999999999923</v>
      </c>
      <c r="G216" s="802">
        <f t="shared" si="40"/>
        <v>7839.28</v>
      </c>
      <c r="H216" s="803">
        <f t="shared" si="41"/>
        <v>-6.0245328652631269E-2</v>
      </c>
      <c r="I216" s="808" t="s">
        <v>766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39"/>
        <v>-550.27500000000134</v>
      </c>
      <c r="G217" s="802">
        <f t="shared" si="40"/>
        <v>11503.275000000001</v>
      </c>
      <c r="H217" s="803">
        <f t="shared" si="41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39"/>
        <v>-651.29999999999984</v>
      </c>
      <c r="G218" s="802">
        <f t="shared" si="40"/>
        <v>11451.3</v>
      </c>
      <c r="H218" s="803">
        <f t="shared" si="41"/>
        <v>-5.6875638573786365E-2</v>
      </c>
      <c r="I218" s="804" t="s">
        <v>822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39"/>
        <v>-706.00000000000023</v>
      </c>
      <c r="G219" s="802">
        <f t="shared" si="40"/>
        <v>15034</v>
      </c>
      <c r="H219" s="803">
        <f t="shared" si="41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39"/>
        <v>-239.85000000000056</v>
      </c>
      <c r="G220" s="802">
        <f t="shared" si="40"/>
        <v>11354.85</v>
      </c>
      <c r="H220" s="806">
        <f t="shared" si="41"/>
        <v>-2.1123132405976353E-2</v>
      </c>
      <c r="I220" s="808" t="s">
        <v>827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39"/>
        <v>-177.40000000000009</v>
      </c>
      <c r="G221" s="802">
        <f t="shared" si="40"/>
        <v>7629.4</v>
      </c>
      <c r="H221" s="803">
        <f t="shared" si="41"/>
        <v>-2.3252156132854498E-2</v>
      </c>
      <c r="I221" s="808" t="s">
        <v>853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39"/>
        <v>180.99999999999881</v>
      </c>
      <c r="G222" s="802">
        <f t="shared" si="40"/>
        <v>7629.0000000000009</v>
      </c>
      <c r="H222" s="803">
        <f t="shared" si="41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39"/>
        <v>241.99999999999875</v>
      </c>
      <c r="G223" s="802">
        <f t="shared" si="40"/>
        <v>7629.0000000000009</v>
      </c>
      <c r="H223" s="803">
        <f t="shared" si="41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39"/>
        <v>544.99999999999886</v>
      </c>
      <c r="G224" s="802">
        <f t="shared" si="40"/>
        <v>7629.0000000000009</v>
      </c>
      <c r="H224" s="803">
        <f t="shared" si="41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39"/>
        <v>767.49999999999977</v>
      </c>
      <c r="G225" s="802">
        <f t="shared" si="40"/>
        <v>3431</v>
      </c>
      <c r="H225" s="803">
        <f t="shared" si="41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47" priority="96">
      <formula>F24&gt;0</formula>
    </cfRule>
    <cfRule type="expression" dxfId="146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5" priority="79">
      <formula>F30&gt;0</formula>
    </cfRule>
    <cfRule type="expression" dxfId="144" priority="80">
      <formula>F30&lt;0</formula>
    </cfRule>
  </conditionalFormatting>
  <conditionalFormatting sqref="H43 H30:H33">
    <cfRule type="expression" dxfId="143" priority="77">
      <formula>H30&gt;0</formula>
    </cfRule>
    <cfRule type="expression" dxfId="142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1" priority="59">
      <formula>F115&gt;0</formula>
    </cfRule>
    <cfRule type="expression" dxfId="140" priority="60">
      <formula>F115&lt;0</formula>
    </cfRule>
  </conditionalFormatting>
  <conditionalFormatting sqref="F112:F114">
    <cfRule type="expression" dxfId="139" priority="57">
      <formula>F112&gt;0</formula>
    </cfRule>
    <cfRule type="expression" dxfId="138" priority="58">
      <formula>F112&lt;0</formula>
    </cfRule>
  </conditionalFormatting>
  <conditionalFormatting sqref="H112:I112">
    <cfRule type="expression" dxfId="137" priority="55">
      <formula>H112&gt;0</formula>
    </cfRule>
    <cfRule type="expression" dxfId="136" priority="56">
      <formula>H112&lt;0</formula>
    </cfRule>
  </conditionalFormatting>
  <conditionalFormatting sqref="H113:I113">
    <cfRule type="expression" dxfId="135" priority="53">
      <formula>H113&gt;0</formula>
    </cfRule>
    <cfRule type="expression" dxfId="134" priority="54">
      <formula>H113&lt;0</formula>
    </cfRule>
  </conditionalFormatting>
  <conditionalFormatting sqref="H114:I114">
    <cfRule type="expression" dxfId="133" priority="51">
      <formula>H114&gt;0</formula>
    </cfRule>
    <cfRule type="expression" dxfId="132" priority="52">
      <formula>H114&lt;0</formula>
    </cfRule>
  </conditionalFormatting>
  <conditionalFormatting sqref="F105:F111">
    <cfRule type="expression" dxfId="131" priority="49">
      <formula>F105&gt;0</formula>
    </cfRule>
    <cfRule type="expression" dxfId="130" priority="50">
      <formula>F105&lt;0</formula>
    </cfRule>
  </conditionalFormatting>
  <conditionalFormatting sqref="H105:I111">
    <cfRule type="expression" dxfId="129" priority="47">
      <formula>H105&gt;0</formula>
    </cfRule>
    <cfRule type="expression" dxfId="128" priority="48">
      <formula>H105&lt;0</formula>
    </cfRule>
  </conditionalFormatting>
  <conditionalFormatting sqref="I117 F117:F119">
    <cfRule type="expression" dxfId="127" priority="45">
      <formula>F117&gt;0</formula>
    </cfRule>
    <cfRule type="expression" dxfId="126" priority="46">
      <formula>F117&lt;0</formula>
    </cfRule>
  </conditionalFormatting>
  <conditionalFormatting sqref="F189:F196 H189:H196">
    <cfRule type="expression" dxfId="125" priority="43">
      <formula>F189&gt;0</formula>
    </cfRule>
    <cfRule type="expression" dxfId="124" priority="44">
      <formula>F189&lt;0</formula>
    </cfRule>
  </conditionalFormatting>
  <conditionalFormatting sqref="H202 F202">
    <cfRule type="expression" dxfId="123" priority="41">
      <formula>F202&gt;0</formula>
    </cfRule>
    <cfRule type="expression" dxfId="122" priority="42">
      <formula>F202&lt;0</formula>
    </cfRule>
  </conditionalFormatting>
  <conditionalFormatting sqref="I204">
    <cfRule type="expression" dxfId="121" priority="39">
      <formula>I204&gt;0</formula>
    </cfRule>
    <cfRule type="expression" dxfId="120" priority="40">
      <formula>I204&lt;0</formula>
    </cfRule>
  </conditionalFormatting>
  <conditionalFormatting sqref="H204 F204">
    <cfRule type="expression" dxfId="119" priority="37">
      <formula>F204&gt;0</formula>
    </cfRule>
    <cfRule type="expression" dxfId="118" priority="38">
      <formula>F204&lt;0</formula>
    </cfRule>
  </conditionalFormatting>
  <conditionalFormatting sqref="M54">
    <cfRule type="expression" dxfId="117" priority="35">
      <formula>M54&gt;0</formula>
    </cfRule>
    <cfRule type="expression" dxfId="116" priority="36">
      <formula>M54&lt;0</formula>
    </cfRule>
  </conditionalFormatting>
  <conditionalFormatting sqref="K39:K49">
    <cfRule type="expression" dxfId="115" priority="33">
      <formula>K39&gt;0</formula>
    </cfRule>
    <cfRule type="expression" dxfId="114" priority="34">
      <formula>K39&lt;0</formula>
    </cfRule>
  </conditionalFormatting>
  <conditionalFormatting sqref="Q10">
    <cfRule type="expression" dxfId="113" priority="31">
      <formula>Q10&gt;0</formula>
    </cfRule>
    <cfRule type="expression" dxfId="112" priority="32">
      <formula>Q10&lt;0</formula>
    </cfRule>
  </conditionalFormatting>
  <conditionalFormatting sqref="Z10">
    <cfRule type="expression" dxfId="111" priority="29">
      <formula>Z10&gt;0</formula>
    </cfRule>
    <cfRule type="expression" dxfId="110" priority="30">
      <formula>Z10&lt;0</formula>
    </cfRule>
  </conditionalFormatting>
  <conditionalFormatting sqref="AA10:AE10">
    <cfRule type="expression" dxfId="109" priority="27">
      <formula>AA10&gt;0</formula>
    </cfRule>
    <cfRule type="expression" dxfId="108" priority="28">
      <formula>AA10&lt;0</formula>
    </cfRule>
  </conditionalFormatting>
  <conditionalFormatting sqref="Z24">
    <cfRule type="expression" dxfId="107" priority="25">
      <formula>Z24&gt;0</formula>
    </cfRule>
    <cfRule type="expression" dxfId="106" priority="26">
      <formula>Z24&lt;0</formula>
    </cfRule>
  </conditionalFormatting>
  <conditionalFormatting sqref="AF10:AG10">
    <cfRule type="expression" dxfId="105" priority="17">
      <formula>AF10&gt;0</formula>
    </cfRule>
    <cfRule type="expression" dxfId="104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3" priority="15">
      <formula>F208&gt;0</formula>
    </cfRule>
    <cfRule type="expression" dxfId="102" priority="16">
      <formula>F208&lt;0</formula>
    </cfRule>
  </conditionalFormatting>
  <conditionalFormatting sqref="F220 F207:F210">
    <cfRule type="expression" dxfId="101" priority="13">
      <formula>F207&gt;0</formula>
    </cfRule>
    <cfRule type="expression" dxfId="100" priority="14">
      <formula>F207&lt;0</formula>
    </cfRule>
  </conditionalFormatting>
  <conditionalFormatting sqref="H207:I207 H220 H208:H210">
    <cfRule type="expression" dxfId="99" priority="11">
      <formula>H207&gt;0</formula>
    </cfRule>
    <cfRule type="expression" dxfId="98" priority="12">
      <formula>H207&lt;0</formula>
    </cfRule>
  </conditionalFormatting>
  <conditionalFormatting sqref="K210:K225">
    <cfRule type="expression" dxfId="97" priority="9">
      <formula>K210&gt;0</formula>
    </cfRule>
    <cfRule type="expression" dxfId="96" priority="10">
      <formula>K210&lt;0</formula>
    </cfRule>
  </conditionalFormatting>
  <conditionalFormatting sqref="K31">
    <cfRule type="expression" dxfId="95" priority="7">
      <formula>K31&gt;0</formula>
    </cfRule>
    <cfRule type="expression" dxfId="94" priority="8">
      <formula>K31&lt;0</formula>
    </cfRule>
  </conditionalFormatting>
  <conditionalFormatting sqref="K32:K38">
    <cfRule type="expression" dxfId="93" priority="5">
      <formula>K32&gt;0</formula>
    </cfRule>
    <cfRule type="expression" dxfId="92" priority="6">
      <formula>K32&lt;0</formula>
    </cfRule>
  </conditionalFormatting>
  <conditionalFormatting sqref="Q7">
    <cfRule type="expression" dxfId="91" priority="3">
      <formula>Q7&gt;0</formula>
    </cfRule>
    <cfRule type="expression" dxfId="90" priority="4">
      <formula>Q7&lt;0</formula>
    </cfRule>
  </conditionalFormatting>
  <conditionalFormatting sqref="Q8">
    <cfRule type="expression" dxfId="89" priority="1">
      <formula>Q8&gt;0</formula>
    </cfRule>
    <cfRule type="expression" dxfId="88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79.05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79.05</v>
      </c>
      <c r="R4" s="475">
        <v>1.3299999999999999E-2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208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207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207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434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51" t="s">
        <v>78</v>
      </c>
      <c r="P42" s="851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86.954999999999998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86.164500000000004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85.374000000000009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84.583500000000001</v>
      </c>
      <c r="Q46" s="81"/>
      <c r="T46" s="91" t="s">
        <v>100</v>
      </c>
      <c r="U46" s="86" t="s">
        <v>653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83.793000000000006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83.002499999999998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82.212000000000003</v>
      </c>
      <c r="Q49" s="81"/>
      <c r="T49" s="91" t="s">
        <v>121</v>
      </c>
      <c r="U49" s="86" t="s">
        <v>356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81.421499999999995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80.631</v>
      </c>
      <c r="Q51" s="81"/>
      <c r="T51" s="91" t="s">
        <v>104</v>
      </c>
      <c r="U51" s="86" t="s">
        <v>654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79.840499999999992</v>
      </c>
      <c r="Q52" s="81"/>
      <c r="T52" s="91" t="s">
        <v>105</v>
      </c>
      <c r="U52" s="86" t="s">
        <v>655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79.05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78.259500000000003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77.468999999999994</v>
      </c>
      <c r="Q55" s="81"/>
      <c r="T55" s="91" t="s">
        <v>107</v>
      </c>
      <c r="U55" s="86" t="s">
        <v>656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76.6785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75.887999999999991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75.097499999999997</v>
      </c>
      <c r="Q58" s="81"/>
      <c r="T58" s="91" t="s">
        <v>108</v>
      </c>
      <c r="U58" s="86" t="s">
        <v>525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74.306999999999988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73.516500000000008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72.725999999999999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71.935500000000005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71.144999999999996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7" priority="5">
      <formula>F21&gt;0</formula>
    </cfRule>
    <cfRule type="expression" dxfId="86" priority="6">
      <formula>F21&lt;0</formula>
    </cfRule>
  </conditionalFormatting>
  <conditionalFormatting sqref="Q8">
    <cfRule type="expression" dxfId="85" priority="1">
      <formula>Q8&gt;0</formula>
    </cfRule>
    <cfRule type="expression" dxfId="84" priority="2">
      <formula>Q8&lt;0</formula>
    </cfRule>
  </conditionalFormatting>
  <conditionalFormatting sqref="Q7">
    <cfRule type="expression" dxfId="83" priority="3">
      <formula>Q7&gt;0</formula>
    </cfRule>
    <cfRule type="expression" dxfId="8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5"/>
  <sheetViews>
    <sheetView workbookViewId="0">
      <pane ySplit="1" topLeftCell="A2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  <c r="V2" t="s">
        <v>1204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(F21-K21-M21)/Q2)</f>
        <v>52.35306666666667</v>
      </c>
      <c r="V3" t="s">
        <v>1205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44.309899999999999</v>
      </c>
      <c r="R4" s="475">
        <v>-1.6199999999999999E-2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6646.4849999999997</v>
      </c>
      <c r="U5" s="83">
        <v>43180</v>
      </c>
      <c r="V5" t="s">
        <v>988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7852.9600000000009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-1156.5249999999996</v>
      </c>
      <c r="R7">
        <v>150</v>
      </c>
    </row>
    <row r="8" spans="1:22" x14ac:dyDescent="0.25">
      <c r="B8" s="434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K21+M21-F21+Q2*Q4</f>
        <v>-1206.4749999999995</v>
      </c>
      <c r="U8" s="118">
        <v>43292</v>
      </c>
      <c r="V8" t="s">
        <v>1203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208</v>
      </c>
      <c r="Q9" s="222">
        <f>IF(Q2=0, 0, Q8/Q6)</f>
        <v>-0.15363315234000929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207</v>
      </c>
      <c r="P10" s="33"/>
      <c r="Q10" s="2">
        <f>M75</f>
        <v>49.949999999999818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4.4233907095254106E-2</v>
      </c>
      <c r="R11">
        <v>0.49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946</v>
      </c>
      <c r="Q12" s="1" t="s">
        <v>1125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973</v>
      </c>
      <c r="Q13">
        <f>Q4/3.08</f>
        <v>14.386331168831168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51" t="s">
        <v>78</v>
      </c>
      <c r="P17" s="851"/>
    </row>
    <row r="18" spans="1:16" ht="15.75" thickTop="1" x14ac:dyDescent="0.25">
      <c r="H18" s="70"/>
      <c r="O18" s="81">
        <v>1.1000000000000001</v>
      </c>
      <c r="P18" s="81">
        <f>O18*$Q$4</f>
        <v>48.74089</v>
      </c>
    </row>
    <row r="19" spans="1:16" x14ac:dyDescent="0.25">
      <c r="H19" s="70"/>
      <c r="O19" s="81">
        <v>1.0900000000000001</v>
      </c>
      <c r="P19" s="81">
        <f t="shared" ref="P19:P38" si="2">O19*$Q$4</f>
        <v>48.297791000000004</v>
      </c>
    </row>
    <row r="20" spans="1:16" x14ac:dyDescent="0.25">
      <c r="H20" s="70"/>
      <c r="O20" s="81">
        <v>1.08</v>
      </c>
      <c r="P20" s="81">
        <f t="shared" si="2"/>
        <v>47.854692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370.9</v>
      </c>
      <c r="O21" s="81">
        <v>1.07</v>
      </c>
      <c r="P21" s="81">
        <f t="shared" si="2"/>
        <v>47.411593000000003</v>
      </c>
    </row>
    <row r="22" spans="1:16" ht="15.75" thickBot="1" x14ac:dyDescent="0.3">
      <c r="A22" s="341" t="s">
        <v>193</v>
      </c>
      <c r="B22" s="479"/>
      <c r="C22" s="343">
        <f>SumByColor($A$22, C2:C20 )</f>
        <v>490</v>
      </c>
      <c r="D22" s="343"/>
      <c r="E22" s="343"/>
      <c r="F22" s="344">
        <f>SumByColor($A$22, F2:F20 )</f>
        <v>26814</v>
      </c>
      <c r="G22" s="343"/>
      <c r="H22" s="343">
        <f>SumByColor($A$22, H2:H20 )</f>
        <v>490</v>
      </c>
      <c r="I22" s="343"/>
      <c r="J22" s="343"/>
      <c r="K22" s="344">
        <f>SumByColor($A$22, K2:K20 )</f>
        <v>26988</v>
      </c>
      <c r="L22" s="343"/>
      <c r="M22" s="344">
        <f>SumByColor($A$22, M2:M20 )</f>
        <v>370</v>
      </c>
      <c r="O22" s="81">
        <v>1.06</v>
      </c>
      <c r="P22" s="81">
        <f t="shared" si="2"/>
        <v>46.968494</v>
      </c>
    </row>
    <row r="23" spans="1:16" x14ac:dyDescent="0.25">
      <c r="O23" s="81">
        <v>1.05</v>
      </c>
      <c r="P23" s="81">
        <f t="shared" si="2"/>
        <v>46.525395000000003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497</v>
      </c>
      <c r="L24" s="220" t="s">
        <v>973</v>
      </c>
      <c r="O24" s="81">
        <v>1.04</v>
      </c>
      <c r="P24" s="81">
        <f t="shared" si="2"/>
        <v>46.082295999999999</v>
      </c>
    </row>
    <row r="25" spans="1:16" x14ac:dyDescent="0.25">
      <c r="B25" s="184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2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45.639197000000003</v>
      </c>
    </row>
    <row r="26" spans="1:16" x14ac:dyDescent="0.25">
      <c r="B26" s="184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2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45.196097999999999</v>
      </c>
    </row>
    <row r="27" spans="1:16" x14ac:dyDescent="0.25">
      <c r="B27" s="184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2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44.752999000000003</v>
      </c>
    </row>
    <row r="28" spans="1:16" x14ac:dyDescent="0.25">
      <c r="B28" s="184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2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44.309899999999999</v>
      </c>
    </row>
    <row r="29" spans="1:16" x14ac:dyDescent="0.25">
      <c r="B29" s="184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2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43.866800999999995</v>
      </c>
    </row>
    <row r="30" spans="1:16" x14ac:dyDescent="0.25">
      <c r="B30" s="184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2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43.423701999999999</v>
      </c>
    </row>
    <row r="31" spans="1:16" x14ac:dyDescent="0.25">
      <c r="B31" s="184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2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42.980602999999995</v>
      </c>
    </row>
    <row r="32" spans="1:16" x14ac:dyDescent="0.25">
      <c r="B32" s="184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2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42.537503999999998</v>
      </c>
    </row>
    <row r="33" spans="1:17" x14ac:dyDescent="0.25">
      <c r="B33" s="184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2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42.094404999999995</v>
      </c>
    </row>
    <row r="34" spans="1:17" x14ac:dyDescent="0.25">
      <c r="B34" s="184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2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41.651305999999998</v>
      </c>
    </row>
    <row r="35" spans="1:17" x14ac:dyDescent="0.25">
      <c r="B35" s="184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2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41.208207000000002</v>
      </c>
    </row>
    <row r="36" spans="1:17" x14ac:dyDescent="0.25">
      <c r="B36" s="184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2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40.765107999999998</v>
      </c>
    </row>
    <row r="37" spans="1:17" x14ac:dyDescent="0.25">
      <c r="A37" t="s">
        <v>345</v>
      </c>
      <c r="B37" s="184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2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40.322009000000001</v>
      </c>
    </row>
    <row r="38" spans="1:17" x14ac:dyDescent="0.25">
      <c r="A38" t="s">
        <v>432</v>
      </c>
      <c r="B38" s="184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2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39.878909999999998</v>
      </c>
    </row>
    <row r="39" spans="1:17" x14ac:dyDescent="0.25">
      <c r="A39">
        <v>50</v>
      </c>
      <c r="B39" s="184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2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4">
        <v>42831</v>
      </c>
      <c r="C40" s="228">
        <v>100</v>
      </c>
      <c r="D40" s="22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2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4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2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4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2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4">
        <v>42862</v>
      </c>
      <c r="C43" s="10">
        <v>150</v>
      </c>
      <c r="D43" s="39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2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4">
        <v>42864</v>
      </c>
      <c r="C44" s="7">
        <v>200</v>
      </c>
      <c r="D44" s="43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2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4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2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4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2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4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2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4">
        <v>42978</v>
      </c>
      <c r="C48" s="10">
        <v>200</v>
      </c>
      <c r="D48" s="39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2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4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2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4">
        <v>43017</v>
      </c>
      <c r="C50" s="425">
        <v>300</v>
      </c>
      <c r="D50" s="426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2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4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2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4">
        <v>43028</v>
      </c>
      <c r="C52" s="10">
        <v>200</v>
      </c>
      <c r="D52" s="39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2">
        <f t="shared" si="20"/>
        <v>-8.7160953015895229E-2</v>
      </c>
      <c r="I52" s="193" t="s">
        <v>754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4">
        <v>43045</v>
      </c>
      <c r="C53" s="425">
        <v>300</v>
      </c>
      <c r="D53" s="426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2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4">
        <v>43047</v>
      </c>
      <c r="C54" s="7">
        <v>200</v>
      </c>
      <c r="D54" s="43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2">
        <f t="shared" si="20"/>
        <v>-7.8606495198019086E-2</v>
      </c>
      <c r="I54" s="193" t="s">
        <v>768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4">
        <v>43068</v>
      </c>
      <c r="C55" s="10">
        <v>150</v>
      </c>
      <c r="D55" s="39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2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4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2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4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2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4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2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4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2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4">
        <v>43172</v>
      </c>
      <c r="C60" s="228">
        <v>100</v>
      </c>
      <c r="D60" s="22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2">
        <f t="shared" ref="H60:H61" si="23">(E60-D60)/D60</f>
        <v>-4.0590814473625877E-2</v>
      </c>
      <c r="I60" s="39" t="s">
        <v>957</v>
      </c>
      <c r="J60" s="39">
        <v>-170</v>
      </c>
      <c r="K60" s="39"/>
      <c r="L60" s="39"/>
    </row>
    <row r="61" spans="1:17" x14ac:dyDescent="0.25">
      <c r="A61">
        <v>100</v>
      </c>
      <c r="B61" s="184">
        <v>43178</v>
      </c>
      <c r="C61" s="10">
        <v>150</v>
      </c>
      <c r="D61" s="39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2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4">
        <v>43184</v>
      </c>
      <c r="C62" s="10">
        <v>150</v>
      </c>
      <c r="D62" s="39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2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4">
        <v>43185</v>
      </c>
      <c r="C63" s="10">
        <v>150</v>
      </c>
      <c r="D63" s="39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2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4">
        <v>43198</v>
      </c>
      <c r="C64" s="10">
        <v>150</v>
      </c>
      <c r="D64" s="39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2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A65">
        <v>150</v>
      </c>
      <c r="B65" s="184">
        <v>43222</v>
      </c>
      <c r="C65" s="10">
        <v>150</v>
      </c>
      <c r="D65" s="39">
        <v>52.353000000000002</v>
      </c>
      <c r="E65" s="39">
        <v>42.49</v>
      </c>
      <c r="F65" s="39">
        <f t="shared" ref="F65" si="33">C65*(E65-D65)</f>
        <v>-1479.4499999999998</v>
      </c>
      <c r="G65" s="39">
        <f t="shared" ref="G65" si="34">D65*C65</f>
        <v>7852.95</v>
      </c>
      <c r="H65" s="222">
        <f t="shared" ref="H65" si="35">(E65-D65)/D65</f>
        <v>-0.18839417034362882</v>
      </c>
      <c r="I65" s="39"/>
      <c r="J65" s="39">
        <v>-1430</v>
      </c>
      <c r="K65" s="39"/>
      <c r="L65" s="39">
        <v>13.8</v>
      </c>
    </row>
    <row r="66" spans="1:13" x14ac:dyDescent="0.25">
      <c r="A66">
        <v>150</v>
      </c>
      <c r="B66" s="184">
        <v>43279</v>
      </c>
      <c r="C66" s="10">
        <v>150</v>
      </c>
      <c r="D66" s="39">
        <v>52.353000000000002</v>
      </c>
      <c r="E66" s="39">
        <v>44.68</v>
      </c>
      <c r="F66" s="39">
        <f t="shared" ref="F66" si="36">C66*(E66-D66)</f>
        <v>-1150.9500000000003</v>
      </c>
      <c r="G66" s="39">
        <f t="shared" ref="G66" si="37">D66*C66</f>
        <v>7852.95</v>
      </c>
      <c r="H66" s="222">
        <f t="shared" ref="H66" si="38">(E66-D66)/D66</f>
        <v>-0.14656275667105995</v>
      </c>
      <c r="I66" s="39"/>
      <c r="J66" s="39">
        <v>-1101</v>
      </c>
      <c r="K66" s="39"/>
      <c r="L66" s="39">
        <v>14.5</v>
      </c>
    </row>
    <row r="67" spans="1:13" x14ac:dyDescent="0.25"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0" spans="1:13" x14ac:dyDescent="0.25">
      <c r="B70" s="184"/>
      <c r="C70" s="10"/>
      <c r="D70" s="39"/>
      <c r="E70" s="39"/>
      <c r="F70" s="39"/>
      <c r="G70" s="39"/>
      <c r="H70" s="222"/>
      <c r="I70" s="39"/>
      <c r="J70" s="39"/>
      <c r="K70" s="39"/>
      <c r="L70" s="39"/>
    </row>
    <row r="71" spans="1:13" x14ac:dyDescent="0.25">
      <c r="B71" s="184"/>
      <c r="C71" s="10"/>
      <c r="D71" s="39"/>
      <c r="E71" s="39"/>
      <c r="F71" s="39"/>
      <c r="G71" s="39"/>
      <c r="H71" s="222"/>
      <c r="I71" s="39"/>
      <c r="J71" s="39"/>
      <c r="K71" s="39"/>
      <c r="L71" s="39"/>
    </row>
    <row r="72" spans="1:13" x14ac:dyDescent="0.25">
      <c r="B72" s="184"/>
      <c r="C72" s="10"/>
      <c r="D72" s="39"/>
      <c r="E72" s="39"/>
      <c r="F72" s="39"/>
      <c r="G72" s="39"/>
      <c r="H72" s="222"/>
      <c r="I72" s="39"/>
      <c r="J72" s="39"/>
      <c r="K72" s="39"/>
      <c r="L72" s="39"/>
    </row>
    <row r="73" spans="1:13" x14ac:dyDescent="0.25">
      <c r="B73" s="184"/>
      <c r="C73" s="10"/>
      <c r="D73" s="39"/>
      <c r="E73" s="39"/>
      <c r="F73" s="39"/>
      <c r="G73" s="39"/>
      <c r="H73" s="222"/>
      <c r="I73" s="39"/>
      <c r="J73" s="39"/>
      <c r="K73" s="39"/>
      <c r="L73" s="39"/>
    </row>
    <row r="75" spans="1:13" x14ac:dyDescent="0.25">
      <c r="L75" t="s">
        <v>207</v>
      </c>
      <c r="M75" s="2">
        <f>M84+K84-F84</f>
        <v>49.949999999999818</v>
      </c>
    </row>
    <row r="76" spans="1:13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68" t="s">
        <v>7</v>
      </c>
      <c r="J76" s="368" t="s">
        <v>95</v>
      </c>
      <c r="K76" s="368" t="s">
        <v>61</v>
      </c>
      <c r="L76" s="368" t="s">
        <v>77</v>
      </c>
      <c r="M76" s="368" t="s">
        <v>38</v>
      </c>
    </row>
    <row r="77" spans="1:13" x14ac:dyDescent="0.25">
      <c r="A77" s="371" t="s">
        <v>171</v>
      </c>
      <c r="B77" s="373">
        <v>42376</v>
      </c>
      <c r="C77" s="362">
        <v>50</v>
      </c>
      <c r="D77" s="363">
        <v>55.15</v>
      </c>
      <c r="E77" s="363">
        <v>0</v>
      </c>
      <c r="F77" s="363">
        <f>C77*D77+E77</f>
        <v>2757.5</v>
      </c>
      <c r="G77" s="361">
        <v>42409</v>
      </c>
      <c r="H77" s="366">
        <v>50</v>
      </c>
      <c r="I77" s="363">
        <v>56.15</v>
      </c>
      <c r="J77" s="363">
        <v>0.05</v>
      </c>
      <c r="K77" s="362">
        <f>H77*I77-J77</f>
        <v>2807.45</v>
      </c>
      <c r="L77" s="361"/>
      <c r="M77" s="363"/>
    </row>
    <row r="78" spans="1:13" x14ac:dyDescent="0.25">
      <c r="A78" s="372" t="s">
        <v>71</v>
      </c>
      <c r="B78" s="373"/>
      <c r="C78" s="362"/>
      <c r="D78" s="363"/>
      <c r="E78" s="363"/>
      <c r="F78" s="363"/>
      <c r="G78" s="361"/>
      <c r="H78" s="362"/>
      <c r="I78" s="362"/>
      <c r="J78" s="362"/>
      <c r="K78" s="362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2"/>
      <c r="I79" s="362"/>
      <c r="J79" s="362"/>
      <c r="K79" s="362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2"/>
      <c r="I80" s="362"/>
      <c r="J80" s="362"/>
      <c r="K80" s="362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2"/>
      <c r="I83" s="362"/>
      <c r="J83" s="362"/>
      <c r="K83" s="362"/>
      <c r="L83" s="362"/>
      <c r="M83" s="362"/>
    </row>
    <row r="84" spans="1:13" x14ac:dyDescent="0.25">
      <c r="A84" s="21" t="s">
        <v>81</v>
      </c>
      <c r="B84" s="12"/>
      <c r="C84" s="12">
        <f>SUM(C77:C83)</f>
        <v>50</v>
      </c>
      <c r="D84" s="13"/>
      <c r="E84" s="13"/>
      <c r="F84" s="13">
        <f>SUM(F77:F83)</f>
        <v>2757.5</v>
      </c>
      <c r="G84" s="12"/>
      <c r="H84" s="12">
        <f>SUM(H77:H80)</f>
        <v>50</v>
      </c>
      <c r="I84" s="12"/>
      <c r="J84" s="12"/>
      <c r="K84" s="12">
        <f>SUM(K77:K80)</f>
        <v>2807.45</v>
      </c>
      <c r="L84" s="12"/>
      <c r="M84" s="13">
        <f>SUM(M77:M80)</f>
        <v>0</v>
      </c>
    </row>
    <row r="85" spans="1:13" x14ac:dyDescent="0.25">
      <c r="A85" s="362"/>
      <c r="B85" s="362"/>
      <c r="C85" s="362"/>
      <c r="D85" s="363"/>
      <c r="E85" s="363"/>
      <c r="F85" s="363"/>
      <c r="G85" s="362"/>
      <c r="H85" s="362"/>
      <c r="I85" s="362"/>
      <c r="J85" s="362"/>
      <c r="K85" s="362"/>
      <c r="L85" s="362"/>
      <c r="M85" s="362"/>
    </row>
  </sheetData>
  <mergeCells count="1">
    <mergeCell ref="O17:P17"/>
  </mergeCells>
  <conditionalFormatting sqref="O18:O38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F70:F73 H70:H73">
    <cfRule type="expression" dxfId="81" priority="37">
      <formula>F25&gt;0</formula>
    </cfRule>
    <cfRule type="expression" dxfId="80" priority="38">
      <formula>F25&lt;0</formula>
    </cfRule>
  </conditionalFormatting>
  <conditionalFormatting sqref="Q8">
    <cfRule type="expression" dxfId="79" priority="31">
      <formula>Q8&gt;0</formula>
    </cfRule>
    <cfRule type="expression" dxfId="78" priority="32">
      <formula>Q8&lt;0</formula>
    </cfRule>
  </conditionalFormatting>
  <conditionalFormatting sqref="Q7">
    <cfRule type="expression" dxfId="77" priority="33">
      <formula>Q7&gt;0</formula>
    </cfRule>
    <cfRule type="expression" dxfId="76" priority="34">
      <formula>Q7&lt;0</formula>
    </cfRule>
  </conditionalFormatting>
  <conditionalFormatting sqref="M75">
    <cfRule type="expression" dxfId="75" priority="29">
      <formula>M75&gt;0</formula>
    </cfRule>
    <cfRule type="expression" dxfId="74" priority="30">
      <formula>M75&lt;0</formula>
    </cfRule>
  </conditionalFormatting>
  <conditionalFormatting sqref="J39">
    <cfRule type="expression" dxfId="73" priority="27">
      <formula>J39&gt;0</formula>
    </cfRule>
    <cfRule type="expression" dxfId="72" priority="28">
      <formula>J39&lt;0</formula>
    </cfRule>
  </conditionalFormatting>
  <conditionalFormatting sqref="J40:J52 J53:K61 J70:K71 K63:K65">
    <cfRule type="expression" dxfId="71" priority="25">
      <formula>J40&gt;0</formula>
    </cfRule>
    <cfRule type="expression" dxfId="70" priority="26">
      <formula>J40&lt;0</formula>
    </cfRule>
  </conditionalFormatting>
  <conditionalFormatting sqref="Q10">
    <cfRule type="expression" dxfId="69" priority="23">
      <formula>Q10&gt;0</formula>
    </cfRule>
    <cfRule type="expression" dxfId="68" priority="24">
      <formula>Q10&lt;0</formula>
    </cfRule>
  </conditionalFormatting>
  <conditionalFormatting sqref="Q9">
    <cfRule type="expression" dxfId="67" priority="21">
      <formula>Q9&gt;0</formula>
    </cfRule>
    <cfRule type="expression" dxfId="66" priority="22">
      <formula>Q9&lt;0</formula>
    </cfRule>
  </conditionalFormatting>
  <conditionalFormatting sqref="F62 H62">
    <cfRule type="expression" dxfId="65" priority="19">
      <formula>F62&gt;0</formula>
    </cfRule>
    <cfRule type="expression" dxfId="64" priority="20">
      <formula>F62&lt;0</formula>
    </cfRule>
  </conditionalFormatting>
  <conditionalFormatting sqref="J62:K62">
    <cfRule type="expression" dxfId="63" priority="17">
      <formula>J62&gt;0</formula>
    </cfRule>
    <cfRule type="expression" dxfId="62" priority="18">
      <formula>J62&lt;0</formula>
    </cfRule>
  </conditionalFormatting>
  <conditionalFormatting sqref="F63 H63">
    <cfRule type="expression" dxfId="61" priority="15">
      <formula>F63&gt;0</formula>
    </cfRule>
    <cfRule type="expression" dxfId="60" priority="16">
      <formula>F63&lt;0</formula>
    </cfRule>
  </conditionalFormatting>
  <conditionalFormatting sqref="J63">
    <cfRule type="expression" dxfId="59" priority="13">
      <formula>J63&gt;0</formula>
    </cfRule>
    <cfRule type="expression" dxfId="58" priority="14">
      <formula>J63&lt;0</formula>
    </cfRule>
  </conditionalFormatting>
  <conditionalFormatting sqref="F64:F66 H64:H66">
    <cfRule type="expression" dxfId="57" priority="11">
      <formula>F64&gt;0</formula>
    </cfRule>
    <cfRule type="expression" dxfId="56" priority="12">
      <formula>F64&lt;0</formula>
    </cfRule>
  </conditionalFormatting>
  <conditionalFormatting sqref="J64:J66">
    <cfRule type="expression" dxfId="55" priority="9">
      <formula>J64&gt;0</formula>
    </cfRule>
    <cfRule type="expression" dxfId="54" priority="10">
      <formula>J64&lt;0</formula>
    </cfRule>
  </conditionalFormatting>
  <conditionalFormatting sqref="L53:L57">
    <cfRule type="expression" dxfId="53" priority="7">
      <formula>L53&gt;0</formula>
    </cfRule>
    <cfRule type="expression" dxfId="52" priority="8">
      <formula>L53&lt;0</formula>
    </cfRule>
  </conditionalFormatting>
  <conditionalFormatting sqref="F67:F69 H67:H69">
    <cfRule type="expression" dxfId="51" priority="3">
      <formula>F67&gt;0</formula>
    </cfRule>
    <cfRule type="expression" dxfId="50" priority="4">
      <formula>F67&lt;0</formula>
    </cfRule>
  </conditionalFormatting>
  <conditionalFormatting sqref="J67:K67 K66">
    <cfRule type="expression" dxfId="49" priority="1">
      <formula>J66&gt;0</formula>
    </cfRule>
    <cfRule type="expression" dxfId="48" priority="2">
      <formula>J66&lt;0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39.75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39.75</v>
      </c>
      <c r="R4" s="475">
        <v>1.5299999999999999E-2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208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207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207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58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58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51" t="s">
        <v>78</v>
      </c>
      <c r="P41" s="851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43.725000000000001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43.327500000000001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42.93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42.532500000000006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42.135000000000005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41.737500000000004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41.34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40.942500000000003</v>
      </c>
      <c r="Q49" s="2"/>
      <c r="T49" s="10" t="s">
        <v>103</v>
      </c>
      <c r="U49" s="10" t="s">
        <v>526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40.545000000000002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40.147500000000001</v>
      </c>
      <c r="Q51" s="2"/>
      <c r="T51" s="10" t="s">
        <v>104</v>
      </c>
      <c r="U51" s="10" t="s">
        <v>657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39.75</v>
      </c>
      <c r="Q52" s="2"/>
      <c r="T52" s="10" t="s">
        <v>105</v>
      </c>
      <c r="U52" s="10" t="s">
        <v>480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39.352499999999999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38.954999999999998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38.557499999999997</v>
      </c>
      <c r="T55" s="10" t="s">
        <v>107</v>
      </c>
      <c r="U55" s="10" t="s">
        <v>658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38.159999999999997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37.762499999999996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37.364999999999995</v>
      </c>
      <c r="T58" s="10" t="s">
        <v>108</v>
      </c>
      <c r="U58" s="10" t="s">
        <v>553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36.967500000000001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36.57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36.172499999999999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35.774999999999999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211.83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211.83</v>
      </c>
      <c r="R4" s="475">
        <v>2.2599999999999999E-2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208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207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207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51" t="s">
        <v>78</v>
      </c>
      <c r="P45" s="851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233.01300000000003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230.89470000000003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228.77640000000002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226.65810000000002</v>
      </c>
      <c r="Q49" s="2"/>
      <c r="T49" s="91" t="s">
        <v>103</v>
      </c>
      <c r="U49" s="416" t="s">
        <v>554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224.53980000000001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222.42150000000001</v>
      </c>
      <c r="Q51" s="2"/>
      <c r="T51" s="91" t="s">
        <v>104</v>
      </c>
      <c r="U51" s="416" t="s">
        <v>659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220.30320000000003</v>
      </c>
      <c r="Q52" s="2"/>
      <c r="T52" s="91" t="s">
        <v>105</v>
      </c>
      <c r="U52" s="416" t="s">
        <v>527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218.18490000000003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216.06660000000002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213.94830000000002</v>
      </c>
      <c r="Q55" s="2"/>
      <c r="T55" s="91" t="s">
        <v>107</v>
      </c>
      <c r="U55" s="416" t="s">
        <v>660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211.83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209.71170000000001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207.5934</v>
      </c>
      <c r="Q58" s="2"/>
      <c r="T58" s="91" t="s">
        <v>108</v>
      </c>
      <c r="U58" s="416" t="s">
        <v>520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205.4751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203.35679999999999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201.23850000000002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199.12020000000001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197.00190000000003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194.88360000000003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192.76530000000002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190.64700000000002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44.65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44.65</v>
      </c>
      <c r="R4" s="475">
        <v>2.8799999999999999E-2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208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207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207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49.115000000000002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48.668500000000002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48.222000000000001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47.775500000000001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47.329000000000001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46.8825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46.436</v>
      </c>
      <c r="Q49" s="2"/>
      <c r="T49" s="91" t="s">
        <v>121</v>
      </c>
      <c r="U49" s="416" t="s">
        <v>371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45.9895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45.542999999999999</v>
      </c>
      <c r="Q51" s="2"/>
      <c r="T51" s="91" t="s">
        <v>104</v>
      </c>
      <c r="U51" s="416" t="s">
        <v>661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45.096499999999999</v>
      </c>
      <c r="Q52" s="2"/>
      <c r="T52" s="91" t="s">
        <v>105</v>
      </c>
      <c r="U52" s="416" t="s">
        <v>446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44.65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44.203499999999998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43.756999999999998</v>
      </c>
      <c r="Q55" s="2"/>
      <c r="T55" s="91" t="s">
        <v>107</v>
      </c>
      <c r="U55" s="416" t="s">
        <v>662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43.310499999999998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42.863999999999997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42.417499999999997</v>
      </c>
      <c r="Q58" s="2"/>
      <c r="T58" s="91" t="s">
        <v>108</v>
      </c>
      <c r="U58" s="416" t="s">
        <v>555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41.970999999999997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41.524500000000003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41.078000000000003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40.631500000000003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40.185000000000002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126.68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126.68</v>
      </c>
      <c r="R4" s="475">
        <v>0.01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208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207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207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211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51" t="s">
        <v>78</v>
      </c>
      <c r="Q39" s="851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139.34800000000001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138.08120000000002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136.81440000000001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135.54760000000002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134.28080000000003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133.01400000000001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131.74720000000002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130.4804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129.21360000000001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127.94680000000001</v>
      </c>
      <c r="T49" s="91" t="s">
        <v>121</v>
      </c>
      <c r="U49" s="86" t="s">
        <v>371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126.68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125.4132</v>
      </c>
      <c r="T51" s="91" t="s">
        <v>104</v>
      </c>
      <c r="U51" s="86" t="s">
        <v>663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124.1464</v>
      </c>
      <c r="T52" s="91" t="s">
        <v>105</v>
      </c>
      <c r="U52" s="86" t="s">
        <v>502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122.8796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121.61280000000001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120.346</v>
      </c>
      <c r="T55" s="91" t="s">
        <v>107</v>
      </c>
      <c r="U55" s="86" t="s">
        <v>664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119.0792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117.81240000000001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116.54560000000001</v>
      </c>
      <c r="T58" s="91" t="s">
        <v>108</v>
      </c>
      <c r="U58" s="86" t="s">
        <v>556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115.2788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114.01200000000001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253.67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253.67</v>
      </c>
      <c r="R4" s="475">
        <v>1.2E-2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208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207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534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207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51" t="s">
        <v>78</v>
      </c>
      <c r="P41" s="851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279.03700000000003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276.50029999999998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273.96359999999999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271.42689999999999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268.89019999999999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266.3535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263.8168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261.2801</v>
      </c>
      <c r="Q49" s="81"/>
      <c r="T49" s="91" t="s">
        <v>103</v>
      </c>
      <c r="U49" s="86" t="s">
        <v>515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258.74340000000001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256.20670000000001</v>
      </c>
      <c r="Q51" s="81"/>
      <c r="T51" s="91" t="s">
        <v>104</v>
      </c>
      <c r="U51" s="86" t="s">
        <v>665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253.67</v>
      </c>
      <c r="Q52" s="81"/>
      <c r="T52" s="91" t="s">
        <v>105</v>
      </c>
      <c r="U52" s="86" t="s">
        <v>510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251.13329999999999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248.5966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246.05989999999997</v>
      </c>
      <c r="Q55" s="81"/>
      <c r="T55" s="91" t="s">
        <v>107</v>
      </c>
      <c r="U55" s="86" t="s">
        <v>666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243.52319999999997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240.98649999999998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238.44979999999998</v>
      </c>
      <c r="Q58" s="81"/>
      <c r="T58" s="91" t="s">
        <v>108</v>
      </c>
      <c r="U58" s="86" t="s">
        <v>557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235.91310000000001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233.37639999999999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230.83969999999999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228.303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88</vt:i4>
      </vt:variant>
      <vt:variant>
        <vt:lpstr>Named Ranges</vt:lpstr>
      </vt:variant>
      <vt:variant>
        <vt:i4>76</vt:i4>
      </vt:variant>
    </vt:vector>
  </HeadingPairs>
  <TitlesOfParts>
    <vt:vector size="164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2018-07-09T20:34:18Z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